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0" yWindow="3120" windowWidth="24000" windowHeight="11060" activeTab="0"/>
  </bookViews>
  <sheets>
    <sheet name="Sources &amp; Notes" sheetId="1" r:id="rId1"/>
    <sheet name="(1) Occ groups by place" sheetId="2" r:id="rId2"/>
    <sheet name="(2) Free LF earnings 1800" sheetId="3" r:id="rId3"/>
    <sheet name="(3) Slave LF earnings 1800" sheetId="4" r:id="rId4"/>
  </sheets>
  <definedNames/>
  <calcPr fullCalcOnLoad="1"/>
</workbook>
</file>

<file path=xl/sharedStrings.xml><?xml version="1.0" encoding="utf-8"?>
<sst xmlns="http://schemas.openxmlformats.org/spreadsheetml/2006/main" count="668" uniqueCount="176">
  <si>
    <t>(1) "Occ groups by place" reporting occupations/location in the files;</t>
  </si>
  <si>
    <t>(2) "Free LF (labor force) earnings 1800" by occupation group and location;</t>
  </si>
  <si>
    <t>(3) "Slave LF earnings 1800" divided between earnings retained by slaves and earnings expropriated by owners;</t>
  </si>
  <si>
    <r>
      <t>Labor force and occupations</t>
    </r>
    <r>
      <rPr>
        <sz val="12"/>
        <rFont val="Arial"/>
        <family val="0"/>
      </rPr>
      <t xml:space="preserve">: Lindert-Williamson estimates, in the "LF &amp; Occs 1800" file, broken down by big city, small town and rural non-farm in the sub-files, September-October 2010. Based on the 1800 census in </t>
    </r>
    <r>
      <rPr>
        <i/>
        <sz val="12"/>
        <rFont val="Arial"/>
        <family val="0"/>
      </rPr>
      <t>Historical Statistics, Millennial Edition</t>
    </r>
    <r>
      <rPr>
        <sz val="12"/>
        <rFont val="Arial"/>
        <family val="0"/>
      </rPr>
      <t xml:space="preserve"> (2006), and on Thomas Weiss's estimates of labor force participation rates.</t>
    </r>
  </si>
  <si>
    <r>
      <t xml:space="preserve">Average annual earnings of free labor </t>
    </r>
    <r>
      <rPr>
        <sz val="12"/>
        <rFont val="Arial"/>
        <family val="0"/>
      </rPr>
      <t>by occupation/region are derived by converting daily or monthly wage rates to annual by the per year work rates described in "Free LF earnings 1800" sheet. They include in-kind payments.</t>
    </r>
  </si>
  <si>
    <r>
      <t>Slave occupations and retained earnings</t>
    </r>
    <r>
      <rPr>
        <sz val="12"/>
        <rFont val="Arial"/>
        <family val="0"/>
      </rPr>
      <t>:</t>
    </r>
  </si>
  <si>
    <t>the assumed slave retention rate (see " Slave earnings retention 1774 &amp; 1800" file). The retention rates (%) are:</t>
  </si>
  <si>
    <t>The remaining worksheets in this Excel file:</t>
  </si>
  <si>
    <r>
      <t>Sources</t>
    </r>
    <r>
      <rPr>
        <sz val="12"/>
        <rFont val="Arial"/>
        <family val="0"/>
      </rPr>
      <t>:</t>
    </r>
  </si>
  <si>
    <t>Artisans, manuf</t>
  </si>
  <si>
    <t>[White collar = LW groups 1 and 2, consisting of officials, titled, professionals, merchants, and shopkeepers]</t>
  </si>
  <si>
    <t>Small Town:</t>
  </si>
  <si>
    <t>Total annual earnings (00, $).</t>
  </si>
  <si>
    <t>Rural Non-Farm:</t>
  </si>
  <si>
    <t>Agriculture earnings per worker are taken from the same as for farm work.</t>
  </si>
  <si>
    <t xml:space="preserve">White collar earnings are the weighted average of male and females white collar earnings. The gender earnings data taken from the rural non-farm in the </t>
  </si>
  <si>
    <t>North</t>
  </si>
  <si>
    <t>Rural non-farm</t>
  </si>
  <si>
    <t>Small town</t>
  </si>
  <si>
    <t>Big city</t>
  </si>
  <si>
    <t>Farm</t>
  </si>
  <si>
    <t>Labor Force</t>
  </si>
  <si>
    <t>Rural Non-Farm</t>
  </si>
  <si>
    <t>Urban: Small Town Non-Farm</t>
  </si>
  <si>
    <t>Urban: Big City Non-Farm</t>
  </si>
  <si>
    <t xml:space="preserve">12,493, and our PSR 2896 (1800 Census) file reports VA urban pop = 16184. This is not consistent with Weiss's big urban LF numbers </t>
  </si>
  <si>
    <t>Construction: weighted average of ship builders and house builders earnings, using city-specific weights.</t>
  </si>
  <si>
    <t>White collar: weighted average of male and female white collar earnings, applying city-specific professional gender weights.</t>
  </si>
  <si>
    <t>South</t>
  </si>
  <si>
    <t>Rural:</t>
  </si>
  <si>
    <t>Urban:</t>
  </si>
  <si>
    <t>Farm</t>
  </si>
  <si>
    <t>and agricultural laborers (gardeners and such) are taken directly from the "Wage data survey 1774-1860.xls" file, but</t>
  </si>
  <si>
    <r>
      <rPr>
        <sz val="12"/>
        <rFont val="Arial"/>
        <family val="0"/>
      </rPr>
      <t xml:space="preserve">The </t>
    </r>
    <r>
      <rPr>
        <b/>
        <u val="single"/>
        <sz val="12"/>
        <rFont val="Arial"/>
        <family val="0"/>
      </rPr>
      <t>occupational grouping</t>
    </r>
    <r>
      <rPr>
        <b/>
        <sz val="12"/>
        <rFont val="Arial"/>
        <family val="0"/>
      </rPr>
      <t>s</t>
    </r>
    <r>
      <rPr>
        <sz val="12"/>
        <rFont val="Arial"/>
        <family val="0"/>
      </rPr>
      <t xml:space="preserve"> that make up the four urban and rural "sectors" are:</t>
    </r>
  </si>
  <si>
    <t xml:space="preserve">Grand Total  </t>
  </si>
  <si>
    <t xml:space="preserve">Total Rural Farm </t>
  </si>
  <si>
    <t>Total Urban and Rural Non-Farm</t>
  </si>
  <si>
    <t>West (KY + MS +TN)</t>
  </si>
  <si>
    <t>Total (13 original + DC + ME)</t>
  </si>
  <si>
    <t>Total (13 original + DC + ME + West)</t>
  </si>
  <si>
    <t>na</t>
  </si>
  <si>
    <t>West</t>
  </si>
  <si>
    <t>Lower South (NC, SC, GA)</t>
  </si>
  <si>
    <t>Lower South (NC, SC, GA)</t>
  </si>
  <si>
    <r>
      <rPr>
        <b/>
        <sz val="10"/>
        <rFont val="Arial"/>
        <family val="2"/>
      </rPr>
      <t>Slave labor force</t>
    </r>
    <r>
      <rPr>
        <sz val="10"/>
        <rFont val="Arial"/>
        <family val="0"/>
      </rPr>
      <t>: Total, farm, rural non-farm and urban non-farm slave labor force (male and female, 10+) from data underlying Weiss (1992). The distribution of slave labor between big city and small town is assumed the same as free labor force (see "Free LF earnings 1800" worksheet in this file).</t>
    </r>
  </si>
  <si>
    <t>Unskilled earnings are the weighted average of female and male unskilled earnings, the gender earnings data taken from the "Wage data survey 1774-1860.xls" file.</t>
  </si>
  <si>
    <t>-1860.xls" file.The same is true of white collar workers.</t>
  </si>
  <si>
    <t xml:space="preserve">Unskilled earnings are the weighted average of female and male unskilled earnings. The gender earnings data taken from the rural non-farm in the </t>
  </si>
  <si>
    <t>Big City</t>
  </si>
  <si>
    <t>Small Town</t>
  </si>
  <si>
    <t>Non-farm</t>
  </si>
  <si>
    <t>Labor force (00, 10+) from Weiss (1992: Table 1A.1, 1A.7, 1A.9, and data underlying sent by Thomas Weiss) and Census.</t>
  </si>
  <si>
    <t>Norfolk and Philadelphia to the 1800 Census urban population total, times the urban labor force, with small town as an urban residual.</t>
  </si>
  <si>
    <t>Lindert-Williamson "Slave earnings retention 1800.xls" file.</t>
  </si>
  <si>
    <t xml:space="preserve">Adams (1970): Donald R. Adams, “Some Evidence on English and American Wage Rates, 1790-1830.” Journal of Economic History 30, 3 (September 1970): 499-520. </t>
  </si>
  <si>
    <t>State</t>
  </si>
  <si>
    <t>Connecticut</t>
  </si>
  <si>
    <t>Maine</t>
  </si>
  <si>
    <t>Massachusetts</t>
  </si>
  <si>
    <t>New Hampshire</t>
  </si>
  <si>
    <t>Rhode Island</t>
  </si>
  <si>
    <t>Vermont</t>
  </si>
  <si>
    <t>New England</t>
  </si>
  <si>
    <t>Delaware</t>
  </si>
  <si>
    <t>District of Columbia</t>
  </si>
  <si>
    <t>Maryland</t>
  </si>
  <si>
    <t>New Jersey</t>
  </si>
  <si>
    <t>New York</t>
  </si>
  <si>
    <t>Pennsylvania</t>
  </si>
  <si>
    <t>Mid Atlantic</t>
  </si>
  <si>
    <t>Georgia</t>
  </si>
  <si>
    <t>Kentucky</t>
  </si>
  <si>
    <t>Mississippi</t>
  </si>
  <si>
    <t>North Carolina</t>
  </si>
  <si>
    <t>South Carolina</t>
  </si>
  <si>
    <t>Tennessee</t>
  </si>
  <si>
    <t>Virginia</t>
  </si>
  <si>
    <t xml:space="preserve">South </t>
  </si>
  <si>
    <t>US Earnings c1800: Combining Weiss labor force estimates with LW occupation distributions and occupation wage data.</t>
  </si>
  <si>
    <t>Annual earnings</t>
  </si>
  <si>
    <t>per earner</t>
  </si>
  <si>
    <t>total</t>
  </si>
  <si>
    <t xml:space="preserve">Labor Force </t>
  </si>
  <si>
    <t xml:space="preserve">The big city labor force is calculated by applying the ratio of the 1800 Census population sum of Baltimore, Boston, Charleston, New York City, </t>
  </si>
  <si>
    <t>Total</t>
  </si>
  <si>
    <t>Artisans</t>
  </si>
  <si>
    <t>Construction</t>
  </si>
  <si>
    <t>Agriculture</t>
  </si>
  <si>
    <t>Unskilled</t>
  </si>
  <si>
    <t>White Collar</t>
  </si>
  <si>
    <t>(all figures, except per earner, in hundreds)</t>
  </si>
  <si>
    <t xml:space="preserve">South Carolina and Virginia urban labor force calculated as other states are implausible. Thus, the 1800 census reports Norfolk pop = </t>
  </si>
  <si>
    <t xml:space="preserve">Sources and Notes: </t>
  </si>
  <si>
    <t>Big City:</t>
  </si>
  <si>
    <t>General:</t>
  </si>
  <si>
    <t>1800 by occ.xls" file (MA, NY, MD, PA, VA, SC only), "short occ dist" sheet, adjusted.</t>
  </si>
  <si>
    <t>Lindert-Williamson</t>
  </si>
  <si>
    <r>
      <rPr>
        <b/>
        <sz val="10"/>
        <rFont val="Arial"/>
        <family val="2"/>
      </rPr>
      <t>Non-farm occupation distribution</t>
    </r>
    <r>
      <rPr>
        <sz val="10"/>
        <rFont val="Arial"/>
        <family val="0"/>
      </rPr>
      <t>: Rural or urban slaves doing non-farm work are assumed to have been either artisans, construction workers, or unskilled (females = domestics, maids, cooks, laundresses, etc.; males = house servants, grooms, porters, coach and carriage drivers, teamsters, gardeners, etc.). The small numbers in other trades are ignored. The distribution of slaves between artisan and construction are assumed to have been equal. The share of non-farm slaves unskilled is taken to have been 66% (for Baltimore, Charleston and Norfolk the average total labor force share of unskilled in the sum of artisans, construction workers and unskilled), except for Charleston by itself, where we assume 76% unskilled. Also, to accommodate rounding unskilled is taken as a residual within location. For a defense of these assumptions, see the "Slave Occ Distribution 1800.xls" file.</t>
    </r>
  </si>
  <si>
    <r>
      <rPr>
        <b/>
        <sz val="10"/>
        <rFont val="Arial"/>
        <family val="2"/>
      </rPr>
      <t>Slave annual earnings</t>
    </r>
    <r>
      <rPr>
        <sz val="10"/>
        <rFont val="Arial"/>
        <family val="0"/>
      </rPr>
      <t>: Derived as free labor force earnings (see "Free LF earnings 1800" worksheet in this file) times the assumed slave retention rate (see the "Slave earnings retention 1800.xls" file). The regional/occupational retention rates (%) thus applied are:</t>
    </r>
  </si>
  <si>
    <t>All annual earnings rates ($) by occupation are from "Wage data survey 1774-1860.xls" file.</t>
  </si>
  <si>
    <t xml:space="preserve">The occupational distribution (artisan, construction, agriculture, unskilled, white collar) for big cities is taken from the "Big cities </t>
  </si>
  <si>
    <t xml:space="preserve">Small town labor force is the residual urban minus big city, to which is applied the occupation distribution from the "1800 Small Town Occ Dist.xls" file. </t>
  </si>
  <si>
    <r>
      <t>Occupation categories</t>
    </r>
    <r>
      <rPr>
        <b/>
        <sz val="12"/>
        <rFont val="Arial"/>
        <family val="0"/>
      </rPr>
      <t xml:space="preserve">: </t>
    </r>
    <r>
      <rPr>
        <sz val="12"/>
        <rFont val="Arial"/>
        <family val="0"/>
      </rPr>
      <t>Because the occupational and occupation wage detail thins out as we disaggregate, we report the labor force and earnings by the following aggregates (consistent with 1774):</t>
    </r>
  </si>
  <si>
    <t>Rural farm</t>
  </si>
  <si>
    <t>Farm operators</t>
  </si>
  <si>
    <t>Farm laborers</t>
  </si>
  <si>
    <t>Non-farm slaves are distributed between unskilled, artisan and construction. How they were distributed is elaborated in the sheet "Slave LF earnings 1800".</t>
  </si>
  <si>
    <t xml:space="preserve">Slave annual earnings retained are derived as free labor force average location/occupation earnings (see "Total LF earnings 1800" worksheet) times </t>
  </si>
  <si>
    <t xml:space="preserve">(Retained) earnings for the 1800 slave labor force: </t>
  </si>
  <si>
    <t>Category</t>
  </si>
  <si>
    <t>Earnings per worker</t>
  </si>
  <si>
    <t>Urban</t>
  </si>
  <si>
    <t>Rural</t>
  </si>
  <si>
    <t>Artisan</t>
  </si>
  <si>
    <t>Earnings Structure 1800</t>
  </si>
  <si>
    <t>Urban unskilled</t>
  </si>
  <si>
    <t>Earnings (00)</t>
  </si>
  <si>
    <t>Labor force (00)</t>
  </si>
  <si>
    <t xml:space="preserve">for VA (36,900). The same is true of South Carolina and Charleston. Instead, the big city average labor participations rates </t>
  </si>
  <si>
    <t>implied by the other four are applied to these two, and small town urban labor force is the residual.</t>
  </si>
  <si>
    <t>Thus for slaves, it includes only what they retained, and not what the part of their earnings (or marginal product) that was expropriated by the owner or renter, which appears elsewhere as property income.</t>
  </si>
  <si>
    <t>Agricultural workers</t>
  </si>
  <si>
    <t>Earnings for the 1800 free labor force (assuming farm operators earn the same as farm laborers)</t>
  </si>
  <si>
    <t>Farm Operators</t>
  </si>
  <si>
    <t xml:space="preserve">Farm Laborers </t>
  </si>
  <si>
    <t>Delaware is treated three ways, with implications for regional totals. First, it is included in the Middle Colonies, while Maryland and the District of Columbia are included in the South, to be consistent with the Alice Hanson Jones 1774 regionalization of wealth. This is the definition used in our working paper "American Incomes Before and After the Revolution" (June 2011). Second, DE is moved South. Third, all three are moved to the Middle Atlantic to be consistent with subsequent census definitions and will be used in subsequent papers covering 1800-1870.</t>
  </si>
  <si>
    <t>Mid Atlantic with DE, DC, MD</t>
  </si>
  <si>
    <t>Mid Atlantic with DE</t>
  </si>
  <si>
    <t>South without DE</t>
  </si>
  <si>
    <t>Sources and notes to the "Own-labor incomes 1800.xls" file</t>
  </si>
  <si>
    <t>$/worker relative to total</t>
  </si>
  <si>
    <t>"Own-labor incomes" here means annual (not necessarily full-time) earnings from human sources, as received by the laborer.</t>
  </si>
  <si>
    <t>This file is a building block in estimating total incomes, from property as well as from own-labor sources, in the "Total incomes 1800.xls" file.</t>
  </si>
  <si>
    <t xml:space="preserve">See other notes in this file and in the "Total incomes 1800.xls" file for discussions of the separation of farm operators' free labor earnings, property earnings, and residual profits.  </t>
  </si>
  <si>
    <r>
      <t>General notes</t>
    </r>
    <r>
      <rPr>
        <b/>
        <sz val="12"/>
        <rFont val="Arial"/>
        <family val="0"/>
      </rPr>
      <t>:</t>
    </r>
  </si>
  <si>
    <t>Unskilled: weighted average of male and female.</t>
  </si>
  <si>
    <r>
      <t xml:space="preserve">Weiss (1992): Thomas Weiss, "U.S. Labor Force Estimates and Economic Growth, 1800-1860," in Robert E. Gallman and John Joseph Wallis (eds.), </t>
    </r>
    <r>
      <rPr>
        <i/>
        <sz val="12"/>
        <rFont val="Arial"/>
        <family val="0"/>
      </rPr>
      <t>American Economic Growth and Standards of Living before the Civil War</t>
    </r>
    <r>
      <rPr>
        <sz val="12"/>
        <rFont val="Arial"/>
        <family val="0"/>
      </rPr>
      <t>, The University of Chicago Press, 1992. Professor Weiss has also supplied us with data underlying his 1992 paper.</t>
    </r>
  </si>
  <si>
    <r>
      <t xml:space="preserve">Census 1800: Michael Haines and the Inter-university Consortium for Political and Social Research, </t>
    </r>
    <r>
      <rPr>
        <i/>
        <sz val="12"/>
        <rFont val="Arial"/>
        <family val="0"/>
      </rPr>
      <t>Historical, Demographic, Economic, and Social Data: The United States, 1790-2000</t>
    </r>
    <r>
      <rPr>
        <sz val="12"/>
        <rFont val="Arial"/>
        <family val="0"/>
      </rPr>
      <t xml:space="preserve"> [Computer file]. ICPSR02896-v2. Hamilton, NY: Colgate University/Ann Arbor: MI: Inter-university Consortium for Political and Social Research [producers], 2004. Ann Arbor, MI: Inter-university Consortium for Political and Social Research [distributor], 2005-04-29.</t>
    </r>
  </si>
  <si>
    <t>Construction workers</t>
  </si>
  <si>
    <t>Unskilled workers</t>
  </si>
  <si>
    <t>White collar</t>
  </si>
  <si>
    <t>Urban (big city, small town)</t>
  </si>
  <si>
    <t>Rural farm labor force</t>
  </si>
  <si>
    <t>Farm operator LF</t>
  </si>
  <si>
    <t xml:space="preserve">The annual earnings per worker estimates are taken from the "Wage data survey 1774-1860.xls" file, using big city averages. Artisans </t>
  </si>
  <si>
    <t>The small town occupational distribution from the "Small town data c1800.xls" file uses the 3 town average, adjusted.</t>
  </si>
  <si>
    <t>Artisan and construction are from the "Wage data survey 1774-1869.xls" file, applying Carey's Rule. Henry Carey, writing in the early 1830s about the 1820s,</t>
  </si>
  <si>
    <t xml:space="preserve">"Wage data survey 1774-1860.xls" file. The unskilled gender employment weights are from small town. </t>
  </si>
  <si>
    <t xml:space="preserve">"Wage data survey 1774-1860.xls" file. The white collar gender employment weights are from small town. </t>
  </si>
  <si>
    <t>Total small-town nonfarm</t>
  </si>
  <si>
    <t>Total rural nonfarm</t>
  </si>
  <si>
    <t>Total big-city nonfarm</t>
  </si>
  <si>
    <t>Total rural farm</t>
  </si>
  <si>
    <t>$ per earner</t>
  </si>
  <si>
    <r>
      <t xml:space="preserve">Note: </t>
    </r>
    <r>
      <rPr>
        <sz val="12"/>
        <rFont val="Arial"/>
        <family val="0"/>
      </rPr>
      <t>Unskilled include seaman, and construction includes ship building. Unskilled and white collar are a weighted average of male and female.</t>
    </r>
  </si>
  <si>
    <t>Lindert-Williamson "Cities 1800 occ's for big 6.xls" file.  The six city estimates are for Baltimore 1799, Boston 1800, Charleston 1800, New York City 1799, Norfolk 1801, and Philadelphia1800.</t>
  </si>
  <si>
    <t>Lindert-Williamson "1800 town &amp; rural occ dist.xls" file.</t>
  </si>
  <si>
    <t>The places and years used are Hartford CT 1799, Lexington KY 1806, Lancaster PA 1800, J.T. Main's lesser northern town estimates, Non-Philadelphia PA cities c1800, and 8 rural Chester County PA townships 1800.</t>
  </si>
  <si>
    <t>Lindert-Williamson "Slave occ distribution 1800.xls" file.</t>
  </si>
  <si>
    <t>Lindert-Williamson "Wage data 1800 june'11.xls" file.</t>
  </si>
  <si>
    <t>South without DE, DC, MD</t>
  </si>
  <si>
    <t>Mid Atlantic + DE</t>
  </si>
  <si>
    <t>Mid Atlantic + DE + DC + MD</t>
  </si>
  <si>
    <r>
      <t xml:space="preserve">Mid Atlantic </t>
    </r>
    <r>
      <rPr>
        <b/>
        <sz val="10"/>
        <color indexed="10"/>
        <rFont val="Calibri"/>
        <family val="0"/>
      </rPr>
      <t>(NJ, NY, PA only)</t>
    </r>
  </si>
  <si>
    <r>
      <t xml:space="preserve">Total (13 original </t>
    </r>
    <r>
      <rPr>
        <b/>
        <sz val="10"/>
        <color indexed="10"/>
        <rFont val="Calibri"/>
        <family val="0"/>
      </rPr>
      <t>colonies = 15 states + DC</t>
    </r>
    <r>
      <rPr>
        <b/>
        <sz val="10"/>
        <color indexed="8"/>
        <rFont val="Calibri"/>
        <family val="2"/>
      </rPr>
      <t>)</t>
    </r>
  </si>
  <si>
    <r>
      <t xml:space="preserve">South </t>
    </r>
    <r>
      <rPr>
        <b/>
        <sz val="10"/>
        <color indexed="10"/>
        <rFont val="Calibri"/>
        <family val="0"/>
      </rPr>
      <t>Atlantic</t>
    </r>
    <r>
      <rPr>
        <b/>
        <sz val="10"/>
        <rFont val="Calibri"/>
        <family val="2"/>
      </rPr>
      <t xml:space="preserve"> - DE (</t>
    </r>
    <r>
      <rPr>
        <b/>
        <sz val="10"/>
        <color indexed="10"/>
        <rFont val="Calibri"/>
        <family val="0"/>
      </rPr>
      <t>for comparison with 1774</t>
    </r>
    <r>
      <rPr>
        <b/>
        <sz val="10"/>
        <rFont val="Calibri"/>
        <family val="2"/>
      </rPr>
      <t>)</t>
    </r>
  </si>
  <si>
    <r>
      <t>South</t>
    </r>
    <r>
      <rPr>
        <b/>
        <sz val="10"/>
        <color indexed="10"/>
        <rFont val="Calibri"/>
        <family val="0"/>
      </rPr>
      <t xml:space="preserve"> Atlantic</t>
    </r>
  </si>
  <si>
    <r>
      <t xml:space="preserve">South </t>
    </r>
    <r>
      <rPr>
        <b/>
        <sz val="10"/>
        <color indexed="10"/>
        <rFont val="Calibri"/>
        <family val="0"/>
      </rPr>
      <t xml:space="preserve">Atlantic </t>
    </r>
    <r>
      <rPr>
        <b/>
        <sz val="10"/>
        <rFont val="Calibri"/>
        <family val="2"/>
      </rPr>
      <t>- DE - DC - MD</t>
    </r>
  </si>
  <si>
    <r>
      <t xml:space="preserve">Total </t>
    </r>
    <r>
      <rPr>
        <b/>
        <sz val="10"/>
        <color indexed="10"/>
        <rFont val="Calibri"/>
        <family val="0"/>
      </rPr>
      <t>(same + West, below</t>
    </r>
    <r>
      <rPr>
        <b/>
        <sz val="10"/>
        <color indexed="8"/>
        <rFont val="Calibri"/>
        <family val="2"/>
      </rPr>
      <t>)</t>
    </r>
  </si>
  <si>
    <t xml:space="preserve">noted that while big city wages were 11, they dropped to 8 in small towns, or 76% of the big cities. Cited in Adams (1970: p. 505). This is consistent with the common labor data above: female earnings were 75% of big cities, while male earnings were 77% (if boatmen and woodcutters -- not small town activities -- are excluded). </t>
  </si>
  <si>
    <t xml:space="preserve">The occupational distributions are derived from the Chester PA evidence in the "Rural Non-Farm Occ Dist.xls" file (8 Chester County PA towns, without </t>
  </si>
  <si>
    <t>agriculture).</t>
  </si>
  <si>
    <t>Artisan and construction are from the "Wage data survey 1774-1860.xls" file, applying Carey's Rule (see above).</t>
  </si>
  <si>
    <t>Labor force (100s)</t>
  </si>
  <si>
    <t>Total ($100s)</t>
  </si>
  <si>
    <t>Summary: Free Labor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</si>
</sst>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h:mm:ss\ AM/PM"/>
  </numFmts>
  <fonts count="43">
    <font>
      <sz val="10"/>
      <name val="Arial"/>
      <family val="0"/>
    </font>
    <font>
      <b/>
      <sz val="11"/>
      <color indexed="8"/>
      <name val="Calibri"/>
      <family val="2"/>
    </font>
    <font>
      <b/>
      <sz val="14"/>
      <color indexed="8"/>
      <name val="Calibri"/>
      <family val="2"/>
    </font>
    <font>
      <b/>
      <sz val="10"/>
      <name val="Arial"/>
      <family val="2"/>
    </font>
    <font>
      <b/>
      <sz val="14"/>
      <name val="Arial"/>
      <family val="2"/>
    </font>
    <font>
      <sz val="10"/>
      <color indexed="8"/>
      <name val="Arial"/>
      <family val="2"/>
    </font>
    <font>
      <sz val="10"/>
      <color indexed="8"/>
      <name val="Calibri"/>
      <family val="2"/>
    </font>
    <font>
      <b/>
      <sz val="10"/>
      <color indexed="8"/>
      <name val="Calibri"/>
      <family val="2"/>
    </font>
    <font>
      <b/>
      <sz val="11"/>
      <name val="Arial"/>
      <family val="2"/>
    </font>
    <font>
      <b/>
      <sz val="9"/>
      <color indexed="8"/>
      <name val="Calibri"/>
      <family val="2"/>
    </font>
    <font>
      <sz val="9"/>
      <color indexed="8"/>
      <name val="Calibri"/>
      <family val="2"/>
    </font>
    <font>
      <b/>
      <sz val="16"/>
      <name val="Arial"/>
      <family val="2"/>
    </font>
    <font>
      <sz val="10"/>
      <name val="Times New Roman"/>
      <family val="1"/>
    </font>
    <font>
      <b/>
      <sz val="10"/>
      <color indexed="8"/>
      <name val="Arial"/>
      <family val="2"/>
    </font>
    <font>
      <sz val="12"/>
      <name val="Arial"/>
      <family val="0"/>
    </font>
    <font>
      <b/>
      <u val="single"/>
      <sz val="12"/>
      <name val="Arial"/>
      <family val="0"/>
    </font>
    <font>
      <b/>
      <sz val="12"/>
      <name val="Arial"/>
      <family val="0"/>
    </font>
    <font>
      <u val="single"/>
      <sz val="12"/>
      <name val="Arial"/>
      <family val="0"/>
    </font>
    <font>
      <i/>
      <sz val="12"/>
      <name val="Arial"/>
      <family val="0"/>
    </font>
    <font>
      <u val="single"/>
      <sz val="10"/>
      <color indexed="20"/>
      <name val="Arial"/>
      <family val="2"/>
    </font>
    <font>
      <u val="single"/>
      <sz val="10"/>
      <color indexed="12"/>
      <name val="Arial"/>
      <family val="2"/>
    </font>
    <font>
      <b/>
      <sz val="10"/>
      <name val="Calibri"/>
      <family val="2"/>
    </font>
    <font>
      <sz val="8"/>
      <name val="Verdana"/>
      <family val="0"/>
    </font>
    <font>
      <b/>
      <sz val="10"/>
      <color indexed="10"/>
      <name val="Calibri"/>
      <family val="0"/>
    </font>
    <font>
      <b/>
      <sz val="10"/>
      <color indexed="10"/>
      <name val="Arial"/>
      <family val="0"/>
    </font>
    <font>
      <b/>
      <sz val="14"/>
      <color indexed="10"/>
      <name val="Arial"/>
      <family val="0"/>
    </font>
    <font>
      <b/>
      <sz val="12"/>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0" fillId="0" borderId="0" xfId="0" applyFont="1" applyAlignment="1">
      <alignment/>
    </xf>
    <xf numFmtId="2" fontId="0" fillId="0" borderId="0" xfId="0" applyNumberFormat="1" applyAlignment="1">
      <alignment/>
    </xf>
    <xf numFmtId="0" fontId="7" fillId="0" borderId="0" xfId="0" applyFont="1" applyAlignment="1">
      <alignment/>
    </xf>
    <xf numFmtId="2" fontId="3" fillId="0" borderId="0" xfId="0" applyNumberFormat="1" applyFont="1" applyAlignment="1">
      <alignment/>
    </xf>
    <xf numFmtId="168" fontId="0" fillId="0" borderId="0" xfId="0" applyNumberFormat="1" applyAlignment="1">
      <alignment/>
    </xf>
    <xf numFmtId="168" fontId="2" fillId="0" borderId="0" xfId="0" applyNumberFormat="1" applyFont="1" applyAlignment="1">
      <alignment/>
    </xf>
    <xf numFmtId="1" fontId="0" fillId="0" borderId="0" xfId="0" applyNumberFormat="1" applyAlignment="1">
      <alignment/>
    </xf>
    <xf numFmtId="1" fontId="3" fillId="0" borderId="0" xfId="0" applyNumberFormat="1" applyFont="1" applyAlignment="1">
      <alignment/>
    </xf>
    <xf numFmtId="3" fontId="0" fillId="0" borderId="0" xfId="0" applyNumberFormat="1" applyAlignment="1">
      <alignment/>
    </xf>
    <xf numFmtId="0" fontId="8" fillId="0" borderId="0" xfId="0" applyFont="1" applyAlignment="1">
      <alignment/>
    </xf>
    <xf numFmtId="2" fontId="7" fillId="0" borderId="0" xfId="0" applyNumberFormat="1" applyFont="1" applyAlignment="1">
      <alignment/>
    </xf>
    <xf numFmtId="1" fontId="7" fillId="0" borderId="0" xfId="0" applyNumberFormat="1" applyFont="1" applyAlignment="1">
      <alignment/>
    </xf>
    <xf numFmtId="1" fontId="2" fillId="0" borderId="0" xfId="0" applyNumberFormat="1" applyFont="1" applyAlignment="1">
      <alignment/>
    </xf>
    <xf numFmtId="1" fontId="7" fillId="0" borderId="0" xfId="0" applyNumberFormat="1" applyFont="1" applyAlignment="1">
      <alignment/>
    </xf>
    <xf numFmtId="0" fontId="7" fillId="0" borderId="0" xfId="0" applyFont="1" applyAlignment="1">
      <alignment wrapText="1"/>
    </xf>
    <xf numFmtId="2" fontId="7" fillId="0" borderId="0" xfId="0" applyNumberFormat="1" applyFont="1" applyAlignment="1">
      <alignment/>
    </xf>
    <xf numFmtId="2" fontId="2" fillId="0" borderId="0" xfId="0" applyNumberFormat="1" applyFont="1" applyAlignment="1">
      <alignment/>
    </xf>
    <xf numFmtId="0" fontId="0" fillId="0" borderId="0" xfId="0" applyAlignment="1">
      <alignment/>
    </xf>
    <xf numFmtId="0" fontId="6" fillId="0" borderId="0" xfId="0" applyFont="1" applyAlignment="1">
      <alignment wrapText="1"/>
    </xf>
    <xf numFmtId="0" fontId="0" fillId="0" borderId="0" xfId="0" applyFont="1" applyAlignment="1">
      <alignment/>
    </xf>
    <xf numFmtId="2" fontId="6" fillId="0" borderId="0" xfId="0" applyNumberFormat="1" applyFont="1" applyAlignment="1">
      <alignment/>
    </xf>
    <xf numFmtId="1" fontId="6" fillId="0" borderId="0" xfId="0" applyNumberFormat="1" applyFont="1" applyAlignment="1">
      <alignment/>
    </xf>
    <xf numFmtId="0" fontId="8" fillId="0" borderId="0" xfId="0" applyFont="1" applyAlignment="1">
      <alignment horizontal="center" wrapText="1"/>
    </xf>
    <xf numFmtId="2" fontId="10" fillId="0" borderId="0" xfId="0" applyNumberFormat="1" applyFont="1" applyAlignment="1">
      <alignment/>
    </xf>
    <xf numFmtId="2" fontId="9" fillId="0" borderId="0" xfId="0" applyNumberFormat="1" applyFont="1" applyAlignment="1">
      <alignment/>
    </xf>
    <xf numFmtId="1" fontId="3"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0" fontId="11" fillId="0" borderId="0" xfId="0" applyFont="1" applyAlignment="1">
      <alignment/>
    </xf>
    <xf numFmtId="0" fontId="0" fillId="0" borderId="0" xfId="0" applyFont="1" applyAlignment="1">
      <alignment/>
    </xf>
    <xf numFmtId="0" fontId="0" fillId="0" borderId="0" xfId="0" applyNumberFormat="1" applyFont="1" applyAlignment="1">
      <alignment/>
    </xf>
    <xf numFmtId="0" fontId="12" fillId="0" borderId="0" xfId="0" applyFont="1" applyAlignment="1">
      <alignment horizontal="left" vertical="center" indent="4"/>
    </xf>
    <xf numFmtId="0" fontId="12" fillId="0" borderId="0" xfId="0" applyFont="1" applyAlignment="1">
      <alignment horizontal="center"/>
    </xf>
    <xf numFmtId="1" fontId="13" fillId="0" borderId="0" xfId="0" applyNumberFormat="1" applyFont="1" applyAlignment="1">
      <alignment/>
    </xf>
    <xf numFmtId="1" fontId="0" fillId="0" borderId="0" xfId="0" applyNumberFormat="1" applyFont="1" applyAlignment="1">
      <alignment/>
    </xf>
    <xf numFmtId="2" fontId="0" fillId="0" borderId="0" xfId="0" applyNumberFormat="1" applyFont="1" applyAlignment="1">
      <alignment/>
    </xf>
    <xf numFmtId="0" fontId="14" fillId="0" borderId="0" xfId="0" applyFont="1" applyAlignment="1">
      <alignment/>
    </xf>
    <xf numFmtId="0" fontId="17" fillId="0" borderId="0" xfId="0" applyFont="1" applyAlignment="1">
      <alignment/>
    </xf>
    <xf numFmtId="0" fontId="16" fillId="0" borderId="0" xfId="0" applyFont="1" applyAlignment="1">
      <alignment/>
    </xf>
    <xf numFmtId="0" fontId="15" fillId="0" borderId="0" xfId="0" applyFont="1" applyAlignment="1">
      <alignment/>
    </xf>
    <xf numFmtId="2" fontId="7" fillId="0" borderId="0" xfId="0" applyNumberFormat="1" applyFont="1" applyAlignment="1">
      <alignment horizontal="right"/>
    </xf>
    <xf numFmtId="0" fontId="6" fillId="0" borderId="0" xfId="0" applyFont="1" applyAlignment="1">
      <alignment wrapText="1"/>
    </xf>
    <xf numFmtId="0" fontId="14" fillId="0" borderId="0" xfId="0" applyFont="1" applyAlignment="1">
      <alignment/>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center"/>
    </xf>
    <xf numFmtId="0" fontId="14" fillId="0" borderId="0" xfId="0" applyNumberFormat="1" applyFont="1" applyAlignment="1">
      <alignment/>
    </xf>
    <xf numFmtId="1" fontId="6" fillId="0" borderId="0" xfId="0" applyNumberFormat="1" applyFont="1" applyAlignment="1">
      <alignment/>
    </xf>
    <xf numFmtId="1" fontId="5" fillId="0" borderId="0" xfId="0" applyNumberFormat="1" applyFont="1" applyAlignment="1">
      <alignment/>
    </xf>
    <xf numFmtId="0" fontId="21" fillId="0" borderId="0" xfId="0" applyFont="1" applyAlignment="1">
      <alignment/>
    </xf>
    <xf numFmtId="1" fontId="21" fillId="0" borderId="0" xfId="0" applyNumberFormat="1" applyFont="1" applyAlignment="1">
      <alignment/>
    </xf>
    <xf numFmtId="1" fontId="24" fillId="0" borderId="0" xfId="0" applyNumberFormat="1" applyFont="1" applyAlignment="1">
      <alignment horizontal="right"/>
    </xf>
    <xf numFmtId="0" fontId="25" fillId="0" borderId="0" xfId="0" applyFont="1" applyAlignment="1">
      <alignment/>
    </xf>
    <xf numFmtId="0" fontId="26" fillId="0" borderId="0" xfId="0" applyFont="1" applyAlignment="1">
      <alignment/>
    </xf>
    <xf numFmtId="0" fontId="0" fillId="0" borderId="0" xfId="0" applyAlignment="1">
      <alignment horizontal="center" wrapText="1"/>
    </xf>
    <xf numFmtId="0" fontId="0" fillId="0" borderId="0" xfId="0" applyAlignment="1">
      <alignment wrapText="1"/>
    </xf>
    <xf numFmtId="2" fontId="3" fillId="0" borderId="0" xfId="0" applyNumberFormat="1" applyFont="1" applyAlignment="1">
      <alignment horizontal="center"/>
    </xf>
    <xf numFmtId="2" fontId="0" fillId="0" borderId="0" xfId="0" applyNumberFormat="1" applyAlignment="1">
      <alignment horizontal="center"/>
    </xf>
    <xf numFmtId="0" fontId="3" fillId="0" borderId="0" xfId="0" applyFont="1" applyAlignment="1">
      <alignment horizontal="center"/>
    </xf>
    <xf numFmtId="0" fontId="0" fillId="0" borderId="0" xfId="0" applyAlignment="1">
      <alignment/>
    </xf>
    <xf numFmtId="0" fontId="1" fillId="10" borderId="0" xfId="0" applyFont="1" applyFill="1" applyAlignment="1">
      <alignment horizontal="center" wrapText="1"/>
    </xf>
    <xf numFmtId="0" fontId="5" fillId="10" borderId="0" xfId="0" applyFont="1" applyFill="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6" fillId="0" borderId="0" xfId="0" applyFont="1" applyAlignment="1">
      <alignment wrapText="1"/>
    </xf>
    <xf numFmtId="0" fontId="6" fillId="0" borderId="0" xfId="0" applyFont="1" applyAlignment="1">
      <alignment wrapText="1"/>
    </xf>
    <xf numFmtId="0" fontId="6" fillId="0" borderId="0" xfId="0" applyFont="1" applyAlignment="1" quotePrefix="1">
      <alignment wrapText="1"/>
    </xf>
    <xf numFmtId="0" fontId="0" fillId="0" borderId="0" xfId="0" applyFont="1" applyAlignment="1">
      <alignment/>
    </xf>
    <xf numFmtId="0" fontId="5" fillId="0" borderId="0" xfId="0" applyFont="1" applyAlignment="1">
      <alignment horizontal="left" wrapText="1"/>
    </xf>
    <xf numFmtId="0" fontId="0" fillId="0" borderId="0" xfId="0" applyFont="1" applyAlignment="1">
      <alignment/>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7" borderId="0" xfId="0" applyFont="1" applyFill="1" applyAlignment="1">
      <alignment horizontal="center" wrapText="1"/>
    </xf>
    <xf numFmtId="0" fontId="0" fillId="7" borderId="0" xfId="0" applyFill="1" applyAlignment="1">
      <alignment horizontal="center" wrapText="1"/>
    </xf>
    <xf numFmtId="0" fontId="1" fillId="22" borderId="0" xfId="0" applyFont="1" applyFill="1" applyAlignment="1">
      <alignment horizontal="center" wrapText="1"/>
    </xf>
    <xf numFmtId="0" fontId="0" fillId="22" borderId="0" xfId="0" applyFill="1" applyAlignment="1">
      <alignment horizontal="center" wrapText="1"/>
    </xf>
    <xf numFmtId="0" fontId="0" fillId="22" borderId="0" xfId="0" applyFill="1" applyAlignment="1">
      <alignment/>
    </xf>
    <xf numFmtId="0" fontId="1" fillId="4" borderId="0" xfId="0" applyFont="1" applyFill="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6" fillId="0" borderId="0" xfId="0" applyFont="1" applyAlignment="1" quotePrefix="1">
      <alignment wrapText="1"/>
    </xf>
    <xf numFmtId="15" fontId="14" fillId="0" borderId="0" xfId="0" applyNumberFormat="1" applyFont="1" applyAlignment="1">
      <alignment/>
    </xf>
    <xf numFmtId="0" fontId="14" fillId="0" borderId="0" xfId="0" applyFont="1" applyAlignment="1">
      <alignment/>
    </xf>
    <xf numFmtId="0" fontId="17" fillId="0" borderId="0" xfId="0" applyFont="1" applyAlignment="1">
      <alignment/>
    </xf>
    <xf numFmtId="1" fontId="14" fillId="0" borderId="0" xfId="0" applyNumberFormat="1" applyFont="1" applyAlignment="1">
      <alignment/>
    </xf>
    <xf numFmtId="0" fontId="14" fillId="0" borderId="0" xfId="0" applyFont="1" applyAlignment="1">
      <alignment/>
    </xf>
    <xf numFmtId="0" fontId="1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tabSelected="1" zoomScalePageLayoutView="0" workbookViewId="0" topLeftCell="A1">
      <selection activeCell="A8" sqref="A8"/>
    </sheetView>
  </sheetViews>
  <sheetFormatPr defaultColWidth="8.8515625" defaultRowHeight="12.75"/>
  <cols>
    <col min="1" max="1" width="19.00390625" style="49" customWidth="1"/>
    <col min="2" max="2" width="13.421875" style="49" customWidth="1"/>
    <col min="3" max="16384" width="8.8515625" style="49" customWidth="1"/>
  </cols>
  <sheetData>
    <row r="1" spans="1:2" s="43" customFormat="1" ht="15">
      <c r="A1" s="43" t="s">
        <v>96</v>
      </c>
      <c r="B1" s="93">
        <v>40694</v>
      </c>
    </row>
    <row r="2" spans="1:2" s="43" customFormat="1" ht="16.5">
      <c r="A2" s="93"/>
      <c r="B2" s="59" t="s">
        <v>129</v>
      </c>
    </row>
    <row r="3" spans="2:7" s="94" customFormat="1" ht="15">
      <c r="B3" s="45"/>
      <c r="C3" s="45"/>
      <c r="D3" s="45"/>
      <c r="E3" s="45"/>
      <c r="F3" s="45"/>
      <c r="G3" s="45"/>
    </row>
    <row r="4" s="94" customFormat="1" ht="15">
      <c r="A4" s="46" t="s">
        <v>7</v>
      </c>
    </row>
    <row r="5" s="94" customFormat="1" ht="15">
      <c r="A5" s="94" t="s">
        <v>0</v>
      </c>
    </row>
    <row r="6" s="94" customFormat="1" ht="15">
      <c r="A6" s="94" t="s">
        <v>1</v>
      </c>
    </row>
    <row r="7" s="94" customFormat="1" ht="15">
      <c r="A7" s="94" t="s">
        <v>2</v>
      </c>
    </row>
    <row r="8" s="94" customFormat="1" ht="15"/>
    <row r="9" s="94" customFormat="1" ht="15">
      <c r="A9" s="46" t="s">
        <v>8</v>
      </c>
    </row>
    <row r="10" spans="1:2" s="94" customFormat="1" ht="15">
      <c r="A10" s="43" t="s">
        <v>136</v>
      </c>
      <c r="B10" s="43"/>
    </row>
    <row r="11" spans="1:2" s="94" customFormat="1" ht="15">
      <c r="A11" s="43" t="s">
        <v>137</v>
      </c>
      <c r="B11" s="43"/>
    </row>
    <row r="12" spans="1:2" s="94" customFormat="1" ht="15">
      <c r="A12" s="43" t="s">
        <v>54</v>
      </c>
      <c r="B12" s="43"/>
    </row>
    <row r="13" spans="1:2" s="94" customFormat="1" ht="15">
      <c r="A13" s="43" t="s">
        <v>158</v>
      </c>
      <c r="B13" s="43"/>
    </row>
    <row r="14" spans="1:2" s="94" customFormat="1" ht="15">
      <c r="A14" s="43" t="s">
        <v>53</v>
      </c>
      <c r="B14" s="43"/>
    </row>
    <row r="15" spans="1:2" s="94" customFormat="1" ht="15">
      <c r="A15" s="43" t="s">
        <v>159</v>
      </c>
      <c r="B15" s="43"/>
    </row>
    <row r="16" spans="1:2" s="94" customFormat="1" ht="15">
      <c r="A16" s="43" t="s">
        <v>155</v>
      </c>
      <c r="B16" s="43"/>
    </row>
    <row r="17" spans="1:2" s="94" customFormat="1" ht="15">
      <c r="A17" s="43" t="s">
        <v>156</v>
      </c>
      <c r="B17" s="43"/>
    </row>
    <row r="18" spans="1:2" s="94" customFormat="1" ht="15">
      <c r="A18" s="43"/>
      <c r="B18" s="43" t="s">
        <v>157</v>
      </c>
    </row>
    <row r="19" s="94" customFormat="1" ht="15"/>
    <row r="20" s="94" customFormat="1" ht="15">
      <c r="A20" s="46" t="s">
        <v>134</v>
      </c>
    </row>
    <row r="21" s="94" customFormat="1" ht="15">
      <c r="A21" s="94" t="s">
        <v>131</v>
      </c>
    </row>
    <row r="22" s="94" customFormat="1" ht="15">
      <c r="A22" s="94" t="s">
        <v>120</v>
      </c>
    </row>
    <row r="23" s="94" customFormat="1" ht="15">
      <c r="A23" s="94" t="s">
        <v>132</v>
      </c>
    </row>
    <row r="24" s="94" customFormat="1" ht="15">
      <c r="A24" s="94" t="s">
        <v>133</v>
      </c>
    </row>
    <row r="25" s="94" customFormat="1" ht="15">
      <c r="A25" s="94" t="s">
        <v>125</v>
      </c>
    </row>
    <row r="26" s="94" customFormat="1" ht="15"/>
    <row r="27" ht="15">
      <c r="A27" s="44" t="s">
        <v>3</v>
      </c>
    </row>
    <row r="29" s="94" customFormat="1" ht="15">
      <c r="A29" s="46" t="s">
        <v>102</v>
      </c>
    </row>
    <row r="30" s="94" customFormat="1" ht="15">
      <c r="A30" s="45" t="s">
        <v>103</v>
      </c>
    </row>
    <row r="31" s="94" customFormat="1" ht="15">
      <c r="A31" s="94" t="s">
        <v>104</v>
      </c>
    </row>
    <row r="32" s="94" customFormat="1" ht="15">
      <c r="A32" s="94" t="s">
        <v>105</v>
      </c>
    </row>
    <row r="33" s="94" customFormat="1" ht="15">
      <c r="A33" s="45" t="s">
        <v>17</v>
      </c>
    </row>
    <row r="34" s="94" customFormat="1" ht="15">
      <c r="A34" s="94" t="s">
        <v>85</v>
      </c>
    </row>
    <row r="35" s="94" customFormat="1" ht="15">
      <c r="A35" s="94" t="s">
        <v>138</v>
      </c>
    </row>
    <row r="36" s="94" customFormat="1" ht="15">
      <c r="A36" s="94" t="s">
        <v>139</v>
      </c>
    </row>
    <row r="37" s="94" customFormat="1" ht="15">
      <c r="A37" s="94" t="s">
        <v>140</v>
      </c>
    </row>
    <row r="38" s="94" customFormat="1" ht="15">
      <c r="A38" s="45" t="s">
        <v>141</v>
      </c>
    </row>
    <row r="39" s="94" customFormat="1" ht="15">
      <c r="A39" s="94" t="s">
        <v>85</v>
      </c>
    </row>
    <row r="40" s="94" customFormat="1" ht="15">
      <c r="A40" s="94" t="s">
        <v>138</v>
      </c>
    </row>
    <row r="41" s="94" customFormat="1" ht="15">
      <c r="A41" s="94" t="s">
        <v>121</v>
      </c>
    </row>
    <row r="42" s="94" customFormat="1" ht="15">
      <c r="A42" s="94" t="s">
        <v>139</v>
      </c>
    </row>
    <row r="43" s="94" customFormat="1" ht="15">
      <c r="A43" s="94" t="s">
        <v>140</v>
      </c>
    </row>
    <row r="44" s="94" customFormat="1" ht="15">
      <c r="A44" s="45" t="s">
        <v>154</v>
      </c>
    </row>
    <row r="45" s="94" customFormat="1" ht="15"/>
    <row r="46" ht="15">
      <c r="A46" s="44" t="s">
        <v>4</v>
      </c>
    </row>
    <row r="48" s="43" customFormat="1" ht="15">
      <c r="A48" s="95" t="s">
        <v>5</v>
      </c>
    </row>
    <row r="49" spans="1:3" s="43" customFormat="1" ht="15">
      <c r="A49" s="53" t="s">
        <v>107</v>
      </c>
      <c r="B49" s="96"/>
      <c r="C49" s="97"/>
    </row>
    <row r="50" spans="1:3" s="43" customFormat="1" ht="15">
      <c r="A50" s="53" t="s">
        <v>6</v>
      </c>
      <c r="B50" s="96"/>
      <c r="C50" s="97"/>
    </row>
    <row r="51" spans="1:4" ht="15">
      <c r="A51" s="97"/>
      <c r="B51" s="43"/>
      <c r="C51" s="98" t="s">
        <v>16</v>
      </c>
      <c r="D51" s="98" t="s">
        <v>28</v>
      </c>
    </row>
    <row r="52" spans="2:4" ht="15">
      <c r="B52" s="50" t="s">
        <v>20</v>
      </c>
      <c r="C52" s="51">
        <v>40.1</v>
      </c>
      <c r="D52" s="52">
        <v>41.4</v>
      </c>
    </row>
    <row r="53" spans="2:4" ht="15">
      <c r="B53" s="50" t="s">
        <v>18</v>
      </c>
      <c r="C53" s="51">
        <v>47.1</v>
      </c>
      <c r="D53" s="51">
        <v>47.5</v>
      </c>
    </row>
    <row r="54" spans="2:4" ht="15">
      <c r="B54" s="50" t="s">
        <v>19</v>
      </c>
      <c r="C54" s="51">
        <v>52.3</v>
      </c>
      <c r="D54" s="51">
        <v>52.7</v>
      </c>
    </row>
    <row r="55" ht="15">
      <c r="A55" s="49" t="s">
        <v>106</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E10"/>
  <sheetViews>
    <sheetView zoomScalePageLayoutView="0" workbookViewId="0" topLeftCell="A1">
      <selection activeCell="C20" sqref="C20"/>
    </sheetView>
  </sheetViews>
  <sheetFormatPr defaultColWidth="8.8515625" defaultRowHeight="12.75"/>
  <cols>
    <col min="1" max="3" width="17.421875" style="0" customWidth="1"/>
    <col min="4" max="4" width="14.00390625" style="0" customWidth="1"/>
  </cols>
  <sheetData>
    <row r="2" spans="1:4" ht="15">
      <c r="A2" s="44" t="s">
        <v>33</v>
      </c>
      <c r="B2" s="43"/>
      <c r="C2" s="43"/>
      <c r="D2" s="43"/>
    </row>
    <row r="3" spans="1:3" ht="15">
      <c r="A3" s="43"/>
      <c r="B3" s="43"/>
      <c r="C3" s="43"/>
    </row>
    <row r="4" spans="1:4" ht="15">
      <c r="A4" s="45" t="s">
        <v>30</v>
      </c>
      <c r="B4" s="45" t="s">
        <v>30</v>
      </c>
      <c r="C4" s="45" t="s">
        <v>29</v>
      </c>
      <c r="D4" s="45" t="s">
        <v>29</v>
      </c>
    </row>
    <row r="5" spans="1:4" ht="15">
      <c r="A5" s="46" t="s">
        <v>48</v>
      </c>
      <c r="B5" s="46" t="s">
        <v>49</v>
      </c>
      <c r="C5" s="46" t="s">
        <v>50</v>
      </c>
      <c r="D5" s="46" t="s">
        <v>31</v>
      </c>
    </row>
    <row r="6" spans="1:5" ht="15">
      <c r="A6" s="43" t="s">
        <v>89</v>
      </c>
      <c r="B6" s="43" t="s">
        <v>89</v>
      </c>
      <c r="C6" s="43" t="s">
        <v>89</v>
      </c>
      <c r="D6" s="46"/>
      <c r="E6" s="43" t="s">
        <v>10</v>
      </c>
    </row>
    <row r="7" spans="1:4" ht="15">
      <c r="A7" s="43" t="s">
        <v>9</v>
      </c>
      <c r="B7" s="43" t="s">
        <v>9</v>
      </c>
      <c r="C7" s="43" t="s">
        <v>9</v>
      </c>
      <c r="D7" s="43"/>
    </row>
    <row r="8" spans="1:4" ht="15">
      <c r="A8" s="43" t="s">
        <v>86</v>
      </c>
      <c r="B8" s="43" t="s">
        <v>86</v>
      </c>
      <c r="C8" s="43" t="s">
        <v>86</v>
      </c>
      <c r="D8" s="43"/>
    </row>
    <row r="9" spans="1:4" ht="15">
      <c r="A9" s="43" t="s">
        <v>87</v>
      </c>
      <c r="B9" s="43" t="s">
        <v>87</v>
      </c>
      <c r="C9" s="43"/>
      <c r="D9" s="43" t="s">
        <v>87</v>
      </c>
    </row>
    <row r="10" spans="1:3" ht="15">
      <c r="A10" s="43" t="s">
        <v>88</v>
      </c>
      <c r="B10" s="43" t="s">
        <v>88</v>
      </c>
      <c r="C10" s="43" t="s">
        <v>88</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V77"/>
  <sheetViews>
    <sheetView zoomScale="125" zoomScaleNormal="125" zoomScalePageLayoutView="0" workbookViewId="0" topLeftCell="A1">
      <pane xSplit="12000" ySplit="4520" topLeftCell="BP35" activePane="bottomLeft" state="split"/>
      <selection pane="topLeft" activeCell="A16" sqref="A16"/>
      <selection pane="topRight" activeCell="BU2" sqref="BU2"/>
      <selection pane="bottomLeft" activeCell="A41" sqref="A41"/>
      <selection pane="bottomRight" activeCell="BU31" sqref="BU31"/>
    </sheetView>
  </sheetViews>
  <sheetFormatPr defaultColWidth="8.8515625" defaultRowHeight="12.75"/>
  <cols>
    <col min="1" max="1" width="41.00390625" style="0" customWidth="1"/>
    <col min="5" max="5" width="6.140625" style="0" customWidth="1"/>
    <col min="18" max="18" width="10.140625" style="0" customWidth="1"/>
    <col min="19" max="19" width="11.140625" style="0" customWidth="1"/>
    <col min="72" max="72" width="13.28125" style="0" customWidth="1"/>
    <col min="78" max="78" width="13.421875" style="0" customWidth="1"/>
    <col min="80" max="80" width="19.140625" style="0" customWidth="1"/>
  </cols>
  <sheetData>
    <row r="1" spans="1:59" ht="18">
      <c r="A1" s="35" t="s">
        <v>122</v>
      </c>
      <c r="BG1" s="24"/>
    </row>
    <row r="2" spans="1:72" ht="16.5">
      <c r="A2" s="16" t="s">
        <v>90</v>
      </c>
      <c r="BG2" s="24"/>
      <c r="BT2" s="59"/>
    </row>
    <row r="3" spans="5:72" ht="18" thickBot="1">
      <c r="E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61"/>
      <c r="AZ3" s="62"/>
      <c r="BA3" s="62"/>
      <c r="BB3" s="62"/>
      <c r="BC3" s="62"/>
      <c r="BD3" s="62"/>
      <c r="BE3" s="62"/>
      <c r="BF3" s="62"/>
      <c r="BG3" s="2"/>
      <c r="BH3" s="1"/>
      <c r="BI3" s="1"/>
      <c r="BJ3" s="1"/>
      <c r="BK3" s="1"/>
      <c r="BL3" s="1"/>
      <c r="BM3" s="1"/>
      <c r="BN3" s="1"/>
      <c r="BO3" s="1"/>
      <c r="BP3" s="1"/>
      <c r="BQ3" s="1"/>
      <c r="BR3" s="1"/>
      <c r="BT3" s="59"/>
    </row>
    <row r="4" spans="1:72" ht="15" customHeight="1" thickBot="1">
      <c r="A4" s="1"/>
      <c r="B4" s="81" t="s">
        <v>34</v>
      </c>
      <c r="C4" s="82"/>
      <c r="D4" s="83"/>
      <c r="E4" s="2"/>
      <c r="F4" s="67" t="s">
        <v>35</v>
      </c>
      <c r="G4" s="67"/>
      <c r="H4" s="67"/>
      <c r="I4" s="68"/>
      <c r="J4" s="68"/>
      <c r="K4" s="68"/>
      <c r="L4" s="68"/>
      <c r="M4" s="68"/>
      <c r="N4" s="68"/>
      <c r="P4" s="72" t="s">
        <v>36</v>
      </c>
      <c r="Q4" s="66"/>
      <c r="R4" s="66"/>
      <c r="S4" s="24"/>
      <c r="T4" s="84" t="s">
        <v>24</v>
      </c>
      <c r="U4" s="84"/>
      <c r="V4" s="84"/>
      <c r="W4" s="85"/>
      <c r="X4" s="85"/>
      <c r="Y4" s="85"/>
      <c r="Z4" s="85"/>
      <c r="AA4" s="85"/>
      <c r="AB4" s="85"/>
      <c r="AC4" s="85"/>
      <c r="AD4" s="85"/>
      <c r="AE4" s="85"/>
      <c r="AF4" s="85"/>
      <c r="AG4" s="85"/>
      <c r="AH4" s="85"/>
      <c r="AI4" s="85"/>
      <c r="AJ4" s="85"/>
      <c r="AK4" s="85"/>
      <c r="AL4" s="86" t="s">
        <v>23</v>
      </c>
      <c r="AM4" s="87"/>
      <c r="AN4" s="87"/>
      <c r="AO4" s="87"/>
      <c r="AP4" s="87"/>
      <c r="AQ4" s="87"/>
      <c r="AR4" s="87"/>
      <c r="AS4" s="87"/>
      <c r="AT4" s="87"/>
      <c r="AU4" s="87"/>
      <c r="AV4" s="87"/>
      <c r="AW4" s="87"/>
      <c r="AX4" s="87"/>
      <c r="AY4" s="88"/>
      <c r="AZ4" s="88"/>
      <c r="BA4" s="88"/>
      <c r="BB4" s="88"/>
      <c r="BC4" s="88"/>
      <c r="BD4" s="89" t="s">
        <v>22</v>
      </c>
      <c r="BE4" s="89"/>
      <c r="BF4" s="89"/>
      <c r="BG4" s="89"/>
      <c r="BH4" s="89"/>
      <c r="BI4" s="89"/>
      <c r="BJ4" s="89"/>
      <c r="BK4" s="89"/>
      <c r="BL4" s="89"/>
      <c r="BM4" s="89"/>
      <c r="BN4" s="89"/>
      <c r="BO4" s="89"/>
      <c r="BP4" s="89"/>
      <c r="BQ4" s="89"/>
      <c r="BR4" s="89"/>
      <c r="BT4" s="60"/>
    </row>
    <row r="5" spans="1:76" ht="13.5">
      <c r="A5" s="1"/>
      <c r="B5" s="2"/>
      <c r="C5" s="2"/>
      <c r="D5" s="2"/>
      <c r="E5" s="2"/>
      <c r="F5" s="69" t="s">
        <v>152</v>
      </c>
      <c r="G5" s="70"/>
      <c r="H5" s="71"/>
      <c r="I5" s="72" t="s">
        <v>123</v>
      </c>
      <c r="J5" s="73"/>
      <c r="K5" s="73"/>
      <c r="L5" s="72" t="s">
        <v>124</v>
      </c>
      <c r="M5" s="73"/>
      <c r="N5" s="73"/>
      <c r="S5" s="2"/>
      <c r="T5" s="69" t="s">
        <v>151</v>
      </c>
      <c r="U5" s="90"/>
      <c r="V5" s="91"/>
      <c r="W5" s="72" t="s">
        <v>85</v>
      </c>
      <c r="X5" s="72"/>
      <c r="Y5" s="72"/>
      <c r="Z5" s="72" t="s">
        <v>86</v>
      </c>
      <c r="AA5" s="72"/>
      <c r="AB5" s="72"/>
      <c r="AC5" s="72" t="s">
        <v>87</v>
      </c>
      <c r="AD5" s="72"/>
      <c r="AE5" s="72"/>
      <c r="AF5" s="72" t="s">
        <v>88</v>
      </c>
      <c r="AG5" s="72"/>
      <c r="AH5" s="72"/>
      <c r="AI5" s="72" t="s">
        <v>89</v>
      </c>
      <c r="AJ5" s="72"/>
      <c r="AK5" s="72"/>
      <c r="AL5" s="69" t="s">
        <v>149</v>
      </c>
      <c r="AM5" s="90"/>
      <c r="AN5" s="91"/>
      <c r="AO5" s="72" t="s">
        <v>85</v>
      </c>
      <c r="AP5" s="72"/>
      <c r="AQ5" s="72"/>
      <c r="AR5" s="72" t="s">
        <v>86</v>
      </c>
      <c r="AS5" s="72"/>
      <c r="AT5" s="72"/>
      <c r="AU5" s="72" t="s">
        <v>87</v>
      </c>
      <c r="AV5" s="72"/>
      <c r="AW5" s="72"/>
      <c r="AX5" s="72" t="s">
        <v>88</v>
      </c>
      <c r="AY5" s="72"/>
      <c r="AZ5" s="72"/>
      <c r="BA5" s="72" t="s">
        <v>89</v>
      </c>
      <c r="BB5" s="72"/>
      <c r="BC5" s="72"/>
      <c r="BD5" s="69" t="s">
        <v>150</v>
      </c>
      <c r="BE5" s="90"/>
      <c r="BF5" s="91"/>
      <c r="BG5" s="72" t="s">
        <v>85</v>
      </c>
      <c r="BH5" s="72"/>
      <c r="BI5" s="72"/>
      <c r="BJ5" s="72" t="s">
        <v>86</v>
      </c>
      <c r="BK5" s="72"/>
      <c r="BL5" s="72"/>
      <c r="BM5" s="72" t="s">
        <v>88</v>
      </c>
      <c r="BN5" s="72"/>
      <c r="BO5" s="72"/>
      <c r="BP5" s="72" t="s">
        <v>89</v>
      </c>
      <c r="BQ5" s="72"/>
      <c r="BR5" s="72"/>
      <c r="BT5" s="63" t="s">
        <v>175</v>
      </c>
      <c r="BU5" s="64"/>
      <c r="BV5" s="64"/>
      <c r="BW5" s="64"/>
      <c r="BX5" s="64"/>
    </row>
    <row r="6" spans="1:76" ht="13.5" customHeight="1">
      <c r="A6" s="1"/>
      <c r="B6" s="72" t="s">
        <v>173</v>
      </c>
      <c r="C6" s="72" t="s">
        <v>79</v>
      </c>
      <c r="D6" s="72"/>
      <c r="E6" s="2"/>
      <c r="F6" s="72" t="s">
        <v>142</v>
      </c>
      <c r="G6" s="72" t="s">
        <v>79</v>
      </c>
      <c r="H6" s="72"/>
      <c r="I6" s="72" t="s">
        <v>143</v>
      </c>
      <c r="J6" s="72" t="s">
        <v>79</v>
      </c>
      <c r="K6" s="72"/>
      <c r="L6" s="72" t="s">
        <v>21</v>
      </c>
      <c r="M6" s="72" t="s">
        <v>79</v>
      </c>
      <c r="N6" s="72"/>
      <c r="P6" s="72" t="s">
        <v>173</v>
      </c>
      <c r="Q6" s="72" t="s">
        <v>79</v>
      </c>
      <c r="R6" s="72"/>
      <c r="S6" s="2"/>
      <c r="T6" s="72" t="s">
        <v>173</v>
      </c>
      <c r="U6" s="72" t="s">
        <v>79</v>
      </c>
      <c r="V6" s="72"/>
      <c r="W6" s="72" t="s">
        <v>173</v>
      </c>
      <c r="X6" s="72" t="s">
        <v>79</v>
      </c>
      <c r="Y6" s="72"/>
      <c r="Z6" s="72" t="s">
        <v>173</v>
      </c>
      <c r="AA6" s="72" t="s">
        <v>79</v>
      </c>
      <c r="AB6" s="72"/>
      <c r="AC6" s="72" t="s">
        <v>173</v>
      </c>
      <c r="AD6" s="72" t="s">
        <v>79</v>
      </c>
      <c r="AE6" s="72"/>
      <c r="AF6" s="72" t="s">
        <v>173</v>
      </c>
      <c r="AG6" s="72" t="s">
        <v>79</v>
      </c>
      <c r="AH6" s="72"/>
      <c r="AI6" s="72" t="s">
        <v>173</v>
      </c>
      <c r="AJ6" s="72" t="s">
        <v>79</v>
      </c>
      <c r="AK6" s="72"/>
      <c r="AL6" s="72" t="s">
        <v>173</v>
      </c>
      <c r="AM6" s="72" t="s">
        <v>79</v>
      </c>
      <c r="AN6" s="72"/>
      <c r="AO6" s="72" t="s">
        <v>173</v>
      </c>
      <c r="AP6" s="72" t="s">
        <v>79</v>
      </c>
      <c r="AQ6" s="72"/>
      <c r="AR6" s="72" t="s">
        <v>173</v>
      </c>
      <c r="AS6" s="72" t="s">
        <v>79</v>
      </c>
      <c r="AT6" s="72"/>
      <c r="AU6" s="72" t="s">
        <v>173</v>
      </c>
      <c r="AV6" s="72" t="s">
        <v>79</v>
      </c>
      <c r="AW6" s="72"/>
      <c r="AX6" s="72" t="s">
        <v>173</v>
      </c>
      <c r="AY6" s="72" t="s">
        <v>79</v>
      </c>
      <c r="AZ6" s="72"/>
      <c r="BA6" s="72" t="s">
        <v>173</v>
      </c>
      <c r="BB6" s="72" t="s">
        <v>79</v>
      </c>
      <c r="BC6" s="72"/>
      <c r="BD6" s="72" t="s">
        <v>173</v>
      </c>
      <c r="BE6" s="72" t="s">
        <v>79</v>
      </c>
      <c r="BF6" s="72"/>
      <c r="BG6" s="72" t="s">
        <v>173</v>
      </c>
      <c r="BH6" s="72" t="s">
        <v>79</v>
      </c>
      <c r="BI6" s="72"/>
      <c r="BJ6" s="72" t="s">
        <v>173</v>
      </c>
      <c r="BK6" s="72" t="s">
        <v>79</v>
      </c>
      <c r="BL6" s="72"/>
      <c r="BM6" s="72" t="s">
        <v>173</v>
      </c>
      <c r="BN6" s="72" t="s">
        <v>79</v>
      </c>
      <c r="BO6" s="72"/>
      <c r="BP6" s="72" t="s">
        <v>173</v>
      </c>
      <c r="BQ6" s="72" t="s">
        <v>79</v>
      </c>
      <c r="BR6" s="72"/>
      <c r="BT6" s="65" t="s">
        <v>114</v>
      </c>
      <c r="BU6" s="66"/>
      <c r="BV6" s="66"/>
      <c r="BW6" s="66"/>
      <c r="BX6" s="66"/>
    </row>
    <row r="7" spans="1:76" ht="42">
      <c r="A7" s="1" t="s">
        <v>55</v>
      </c>
      <c r="B7" s="74"/>
      <c r="C7" s="2" t="s">
        <v>153</v>
      </c>
      <c r="D7" s="2" t="s">
        <v>174</v>
      </c>
      <c r="E7" s="2"/>
      <c r="F7" s="74"/>
      <c r="G7" s="2" t="s">
        <v>153</v>
      </c>
      <c r="H7" s="2" t="s">
        <v>174</v>
      </c>
      <c r="I7" s="74"/>
      <c r="J7" s="2" t="s">
        <v>153</v>
      </c>
      <c r="K7" s="2" t="s">
        <v>81</v>
      </c>
      <c r="L7" s="72"/>
      <c r="M7" s="2" t="s">
        <v>153</v>
      </c>
      <c r="N7" s="2" t="s">
        <v>81</v>
      </c>
      <c r="P7" s="74"/>
      <c r="Q7" s="2" t="s">
        <v>153</v>
      </c>
      <c r="R7" s="2" t="s">
        <v>174</v>
      </c>
      <c r="S7" s="29"/>
      <c r="T7" s="74"/>
      <c r="U7" s="2" t="s">
        <v>153</v>
      </c>
      <c r="V7" s="2" t="s">
        <v>174</v>
      </c>
      <c r="W7" s="74"/>
      <c r="X7" s="2" t="s">
        <v>153</v>
      </c>
      <c r="Y7" s="2" t="s">
        <v>174</v>
      </c>
      <c r="Z7" s="74"/>
      <c r="AA7" s="2" t="s">
        <v>153</v>
      </c>
      <c r="AB7" s="2" t="s">
        <v>174</v>
      </c>
      <c r="AC7" s="74"/>
      <c r="AD7" s="2" t="s">
        <v>153</v>
      </c>
      <c r="AE7" s="2" t="s">
        <v>174</v>
      </c>
      <c r="AF7" s="74"/>
      <c r="AG7" s="2" t="s">
        <v>153</v>
      </c>
      <c r="AH7" s="2" t="s">
        <v>174</v>
      </c>
      <c r="AI7" s="74"/>
      <c r="AJ7" s="2" t="s">
        <v>153</v>
      </c>
      <c r="AK7" s="2" t="s">
        <v>174</v>
      </c>
      <c r="AL7" s="74"/>
      <c r="AM7" s="2" t="s">
        <v>153</v>
      </c>
      <c r="AN7" s="2" t="s">
        <v>174</v>
      </c>
      <c r="AO7" s="74"/>
      <c r="AP7" s="2" t="s">
        <v>153</v>
      </c>
      <c r="AQ7" s="2" t="s">
        <v>174</v>
      </c>
      <c r="AR7" s="74"/>
      <c r="AS7" s="2" t="s">
        <v>153</v>
      </c>
      <c r="AT7" s="2" t="s">
        <v>174</v>
      </c>
      <c r="AU7" s="74"/>
      <c r="AV7" s="2" t="s">
        <v>153</v>
      </c>
      <c r="AW7" s="2" t="s">
        <v>174</v>
      </c>
      <c r="AX7" s="74"/>
      <c r="AY7" s="2" t="s">
        <v>153</v>
      </c>
      <c r="AZ7" s="2" t="s">
        <v>174</v>
      </c>
      <c r="BA7" s="74"/>
      <c r="BB7" s="2" t="s">
        <v>153</v>
      </c>
      <c r="BC7" s="2" t="s">
        <v>174</v>
      </c>
      <c r="BD7" s="74"/>
      <c r="BE7" s="2" t="s">
        <v>80</v>
      </c>
      <c r="BF7" s="2" t="s">
        <v>174</v>
      </c>
      <c r="BG7" s="74"/>
      <c r="BH7" s="2" t="s">
        <v>153</v>
      </c>
      <c r="BI7" s="2" t="s">
        <v>174</v>
      </c>
      <c r="BJ7" s="74"/>
      <c r="BK7" s="2" t="s">
        <v>153</v>
      </c>
      <c r="BL7" s="2" t="s">
        <v>174</v>
      </c>
      <c r="BM7" s="74"/>
      <c r="BN7" s="2" t="s">
        <v>153</v>
      </c>
      <c r="BO7" s="2" t="s">
        <v>174</v>
      </c>
      <c r="BP7" s="74"/>
      <c r="BQ7" s="2" t="s">
        <v>153</v>
      </c>
      <c r="BR7" s="2" t="s">
        <v>174</v>
      </c>
      <c r="BT7" s="2" t="s">
        <v>109</v>
      </c>
      <c r="BU7" s="2" t="s">
        <v>116</v>
      </c>
      <c r="BV7" s="2" t="s">
        <v>117</v>
      </c>
      <c r="BW7" s="2" t="s">
        <v>110</v>
      </c>
      <c r="BX7" s="2" t="s">
        <v>130</v>
      </c>
    </row>
    <row r="8" spans="1:76" ht="13.5">
      <c r="A8" t="s">
        <v>56</v>
      </c>
      <c r="B8" s="13">
        <v>688.213</v>
      </c>
      <c r="C8" s="30">
        <f aca="true" t="shared" si="0" ref="C8:C13">D8/B8</f>
        <v>216.43257080846536</v>
      </c>
      <c r="D8" s="13">
        <f aca="true" t="shared" si="1" ref="D8:D13">H8+V8+AN8+BF8</f>
        <v>148951.70885380637</v>
      </c>
      <c r="E8" s="2"/>
      <c r="F8" s="13">
        <v>499.89354</v>
      </c>
      <c r="G8" s="8">
        <v>206.1</v>
      </c>
      <c r="H8" s="13">
        <f aca="true" t="shared" si="2" ref="H8:H13">F8*G8</f>
        <v>103028.05859399999</v>
      </c>
      <c r="I8" s="58"/>
      <c r="J8" s="8">
        <v>206.1</v>
      </c>
      <c r="K8" s="13"/>
      <c r="L8" s="13"/>
      <c r="M8" s="8">
        <v>206.1</v>
      </c>
      <c r="N8" s="13"/>
      <c r="O8" s="13"/>
      <c r="P8" s="13">
        <f aca="true" t="shared" si="3" ref="P8:P14">T8+AL8+BD8</f>
        <v>188.31946</v>
      </c>
      <c r="Q8" s="8">
        <f>R8/P8</f>
        <v>243.86035442012403</v>
      </c>
      <c r="R8" s="13">
        <f>V8+AN8+BF8</f>
        <v>45923.65025980637</v>
      </c>
      <c r="S8" s="13"/>
      <c r="T8" s="13">
        <v>0</v>
      </c>
      <c r="U8">
        <v>0</v>
      </c>
      <c r="V8" s="13">
        <f>Y8+AB8+AE8+AH8+AK8</f>
        <v>0</v>
      </c>
      <c r="W8" s="13">
        <v>0</v>
      </c>
      <c r="X8">
        <v>0</v>
      </c>
      <c r="Y8">
        <v>0</v>
      </c>
      <c r="Z8" s="13">
        <v>0</v>
      </c>
      <c r="AA8">
        <v>0</v>
      </c>
      <c r="AB8">
        <f>Z8*AA8</f>
        <v>0</v>
      </c>
      <c r="AC8" s="13">
        <v>0</v>
      </c>
      <c r="AD8">
        <v>0</v>
      </c>
      <c r="AE8">
        <v>0</v>
      </c>
      <c r="AF8" s="13">
        <f>T8-W8-Z8-AC8-AI8</f>
        <v>0</v>
      </c>
      <c r="AG8">
        <v>0</v>
      </c>
      <c r="AH8">
        <v>0</v>
      </c>
      <c r="AI8" s="13">
        <v>0</v>
      </c>
      <c r="AJ8" s="13">
        <v>0</v>
      </c>
      <c r="AK8" s="13">
        <v>0</v>
      </c>
      <c r="AL8" s="13">
        <v>101.09781536842105</v>
      </c>
      <c r="AM8" s="27">
        <f aca="true" t="shared" si="4" ref="AM8:AM13">AN8/AL8</f>
        <v>270.8087231603438</v>
      </c>
      <c r="AN8" s="13">
        <f>AQ8+AT8+AW8+AZ8+BC8</f>
        <v>27378.170294222287</v>
      </c>
      <c r="AO8" s="13">
        <v>22.67382522947368</v>
      </c>
      <c r="AP8">
        <v>385.62</v>
      </c>
      <c r="AQ8" s="13">
        <f>AP8*AO8</f>
        <v>8743.48048498964</v>
      </c>
      <c r="AR8" s="13">
        <v>6.047825229473684</v>
      </c>
      <c r="AS8">
        <v>276.78</v>
      </c>
      <c r="AT8" s="13">
        <f>AR8*AS8</f>
        <v>1673.9170670137262</v>
      </c>
      <c r="AU8" s="13">
        <v>0.9179999999999999</v>
      </c>
      <c r="AV8">
        <v>250.26</v>
      </c>
      <c r="AW8" s="13">
        <f>AU8*AV8</f>
        <v>229.73867999999996</v>
      </c>
      <c r="AX8" s="13">
        <f>AL8-AO8-AR8-AU8-BA8</f>
        <v>42.59216490947368</v>
      </c>
      <c r="AY8" s="8">
        <f>0.84*203.18+0.16*111.49</f>
        <v>188.5096</v>
      </c>
      <c r="AZ8" s="13">
        <f>AX8*AY8</f>
        <v>8029.03197021892</v>
      </c>
      <c r="BA8" s="13">
        <v>28.865999999999996</v>
      </c>
      <c r="BB8" s="8">
        <f>0.654*389+0.346*136</f>
        <v>301.462</v>
      </c>
      <c r="BC8" s="13">
        <f>BB8*BA8</f>
        <v>8702.002091999999</v>
      </c>
      <c r="BD8" s="13">
        <v>87.22164463157895</v>
      </c>
      <c r="BE8" s="8">
        <f aca="true" t="shared" si="5" ref="BE8:BE14">BF8/BD8</f>
        <v>212.62474519850556</v>
      </c>
      <c r="BF8" s="13">
        <f>BI8+BL8+BO8+BR8</f>
        <v>18545.479965584076</v>
      </c>
      <c r="BG8" s="13">
        <v>17.361731570526317</v>
      </c>
      <c r="BH8">
        <v>300.48</v>
      </c>
      <c r="BI8" s="13">
        <f>BG8*BH8</f>
        <v>5216.8531023117475</v>
      </c>
      <c r="BJ8" s="13">
        <v>5.0417315705263155</v>
      </c>
      <c r="BK8">
        <v>215.67</v>
      </c>
      <c r="BL8" s="13">
        <f>BJ8*BK8</f>
        <v>1087.3502478154103</v>
      </c>
      <c r="BM8" s="13">
        <v>59.01018149052633</v>
      </c>
      <c r="BN8" s="8">
        <f>0.84*208.55+0.16*54.14</f>
        <v>183.8444</v>
      </c>
      <c r="BO8" s="13">
        <f>BM8*BN8</f>
        <v>10848.69141001692</v>
      </c>
      <c r="BP8" s="13">
        <v>5.808</v>
      </c>
      <c r="BQ8" s="8">
        <f>0.654*294.67+0.346*136</f>
        <v>239.77018000000004</v>
      </c>
      <c r="BR8" s="13">
        <f>BP8*BQ8</f>
        <v>1392.5852054400002</v>
      </c>
      <c r="BT8" s="36" t="s">
        <v>111</v>
      </c>
      <c r="BU8" s="13">
        <f>V35+AN35</f>
        <v>603328.6606595105</v>
      </c>
      <c r="BV8" s="13">
        <f>T35+AL35</f>
        <v>1792.8928328789239</v>
      </c>
      <c r="BW8" s="8">
        <f>BU8/BV8</f>
        <v>336.5112791993932</v>
      </c>
      <c r="BX8" s="8">
        <f>100*BW8/BW10</f>
        <v>152.5615071681078</v>
      </c>
    </row>
    <row r="9" spans="1:76" ht="13.5">
      <c r="A9" t="s">
        <v>57</v>
      </c>
      <c r="B9" s="13">
        <v>361</v>
      </c>
      <c r="C9" s="30">
        <f t="shared" si="0"/>
        <v>213.5890058772299</v>
      </c>
      <c r="D9" s="13">
        <f t="shared" si="1"/>
        <v>77105.63112168</v>
      </c>
      <c r="E9" s="2"/>
      <c r="F9" s="13">
        <v>262</v>
      </c>
      <c r="G9" s="8">
        <v>202.32</v>
      </c>
      <c r="H9" s="13">
        <f t="shared" si="2"/>
        <v>53007.84</v>
      </c>
      <c r="I9" s="58"/>
      <c r="J9" s="8">
        <v>202.32</v>
      </c>
      <c r="K9" s="13"/>
      <c r="L9" s="13"/>
      <c r="M9" s="8">
        <v>202.32</v>
      </c>
      <c r="N9" s="13"/>
      <c r="O9" s="13"/>
      <c r="P9" s="13">
        <f t="shared" si="3"/>
        <v>99</v>
      </c>
      <c r="Q9" s="8">
        <f aca="true" t="shared" si="6" ref="Q9:Q35">R9/P9</f>
        <v>243.4120315321212</v>
      </c>
      <c r="R9" s="13">
        <f aca="true" t="shared" si="7" ref="R9:R35">V9+AN9+BF9</f>
        <v>24097.79112168</v>
      </c>
      <c r="S9" s="13"/>
      <c r="T9" s="13">
        <v>0</v>
      </c>
      <c r="U9">
        <v>0</v>
      </c>
      <c r="V9" s="13">
        <f aca="true" t="shared" si="8" ref="V9:V29">Y9+AB9+AE9+AH9+AK9</f>
        <v>0</v>
      </c>
      <c r="W9" s="13">
        <v>0</v>
      </c>
      <c r="X9">
        <v>0</v>
      </c>
      <c r="Y9">
        <v>0</v>
      </c>
      <c r="Z9" s="13">
        <v>0</v>
      </c>
      <c r="AA9">
        <v>0</v>
      </c>
      <c r="AB9" s="13">
        <f aca="true" t="shared" si="9" ref="AB9:AB29">Z9*AA9</f>
        <v>0</v>
      </c>
      <c r="AC9" s="13">
        <v>0</v>
      </c>
      <c r="AD9">
        <v>0</v>
      </c>
      <c r="AE9">
        <v>0</v>
      </c>
      <c r="AF9" s="13">
        <f aca="true" t="shared" si="10" ref="AF9:AF29">T9-W9-Z9-AC9-AI9</f>
        <v>0</v>
      </c>
      <c r="AG9">
        <v>0</v>
      </c>
      <c r="AH9">
        <v>0</v>
      </c>
      <c r="AI9" s="13">
        <v>0</v>
      </c>
      <c r="AJ9" s="13">
        <v>0</v>
      </c>
      <c r="AK9" s="13">
        <v>0</v>
      </c>
      <c r="AL9" s="13">
        <v>53</v>
      </c>
      <c r="AM9" s="27">
        <f t="shared" si="4"/>
        <v>270.262836</v>
      </c>
      <c r="AN9" s="13">
        <f aca="true" t="shared" si="11" ref="AN9:AN29">AQ9+AT9+AW9+AZ9+BC9</f>
        <v>14323.930307999999</v>
      </c>
      <c r="AO9" s="13">
        <v>11.819</v>
      </c>
      <c r="AP9">
        <v>385.62</v>
      </c>
      <c r="AQ9" s="13">
        <f aca="true" t="shared" si="12" ref="AQ9:AQ29">AP9*AO9</f>
        <v>4557.64278</v>
      </c>
      <c r="AR9" s="13">
        <v>3.1799999999999997</v>
      </c>
      <c r="AS9">
        <v>276.78</v>
      </c>
      <c r="AT9" s="13">
        <f aca="true" t="shared" si="13" ref="AT9:AT29">AR9*AS9</f>
        <v>880.1603999999999</v>
      </c>
      <c r="AU9" s="13">
        <v>0.477</v>
      </c>
      <c r="AV9">
        <v>248.05</v>
      </c>
      <c r="AW9" s="13">
        <f aca="true" t="shared" si="14" ref="AW9:AW29">AU9*AV9</f>
        <v>118.31985</v>
      </c>
      <c r="AX9" s="13">
        <f aca="true" t="shared" si="15" ref="AX9:AX29">AL9-AO9-AR9-AU9-BA9</f>
        <v>22.525000000000002</v>
      </c>
      <c r="AY9" s="8">
        <f aca="true" t="shared" si="16" ref="AY9:AY40">0.84*203.18+0.16*111.49</f>
        <v>188.5096</v>
      </c>
      <c r="AZ9" s="13">
        <f aca="true" t="shared" si="17" ref="AZ9:AZ29">AX9*AY9</f>
        <v>4246.17874</v>
      </c>
      <c r="BA9" s="13">
        <v>14.998999999999999</v>
      </c>
      <c r="BB9" s="8">
        <f aca="true" t="shared" si="18" ref="BB9:BB40">0.654*389+0.346*136</f>
        <v>301.462</v>
      </c>
      <c r="BC9" s="13">
        <f aca="true" t="shared" si="19" ref="BC9:BC29">BB9*BA9</f>
        <v>4521.628537999999</v>
      </c>
      <c r="BD9" s="13">
        <v>46</v>
      </c>
      <c r="BE9" s="8">
        <f t="shared" si="5"/>
        <v>212.47523507999998</v>
      </c>
      <c r="BF9" s="13">
        <f aca="true" t="shared" si="20" ref="BF9:BF29">BI9+BL9+BO9+BR9</f>
        <v>9773.86081368</v>
      </c>
      <c r="BG9" s="13">
        <v>9.108</v>
      </c>
      <c r="BH9">
        <v>300.48</v>
      </c>
      <c r="BI9" s="13">
        <f aca="true" t="shared" si="21" ref="BI9:BI29">BG9*BH9</f>
        <v>2736.7718400000003</v>
      </c>
      <c r="BJ9" s="13">
        <v>2.668</v>
      </c>
      <c r="BK9">
        <v>215.67</v>
      </c>
      <c r="BL9" s="13">
        <f aca="true" t="shared" si="22" ref="BL9:BL29">BJ9*BK9</f>
        <v>575.40756</v>
      </c>
      <c r="BM9" s="13">
        <v>31.187999999999995</v>
      </c>
      <c r="BN9" s="8">
        <f aca="true" t="shared" si="23" ref="BN9:BN40">0.84*208.55+0.16*54.14</f>
        <v>183.8444</v>
      </c>
      <c r="BO9" s="13">
        <f aca="true" t="shared" si="24" ref="BO9:BO29">BM9*BN9</f>
        <v>5733.739147199999</v>
      </c>
      <c r="BP9" s="13">
        <v>3.036</v>
      </c>
      <c r="BQ9" s="8">
        <f aca="true" t="shared" si="25" ref="BQ9:BQ40">0.654*294.67+0.346*136</f>
        <v>239.77018000000004</v>
      </c>
      <c r="BR9" s="13">
        <f aca="true" t="shared" si="26" ref="BR9:BR29">BP9*BQ9</f>
        <v>727.9422664800002</v>
      </c>
      <c r="BT9" s="36" t="s">
        <v>112</v>
      </c>
      <c r="BU9" s="13">
        <f>D35-BU8</f>
        <v>1852876.5004396727</v>
      </c>
      <c r="BV9" s="13">
        <f>B35-BV8</f>
        <v>9342.61389316285</v>
      </c>
      <c r="BW9" s="8">
        <f>BU9/BV9</f>
        <v>198.32527830307237</v>
      </c>
      <c r="BX9" s="8">
        <f>100*BW9/BW10</f>
        <v>89.91319232875719</v>
      </c>
    </row>
    <row r="10" spans="1:76" ht="13.5">
      <c r="A10" t="s">
        <v>58</v>
      </c>
      <c r="B10" s="13">
        <v>1229</v>
      </c>
      <c r="C10" s="30">
        <f t="shared" si="0"/>
        <v>229.39878382186328</v>
      </c>
      <c r="D10" s="13">
        <f t="shared" si="1"/>
        <v>281931.10531707</v>
      </c>
      <c r="E10" s="2"/>
      <c r="F10" s="13">
        <v>732</v>
      </c>
      <c r="G10" s="8">
        <v>206.1</v>
      </c>
      <c r="H10" s="13">
        <f t="shared" si="2"/>
        <v>150865.19999999998</v>
      </c>
      <c r="I10" s="58"/>
      <c r="J10" s="8">
        <v>206.1</v>
      </c>
      <c r="K10" s="13"/>
      <c r="L10" s="13"/>
      <c r="M10" s="8">
        <v>206.1</v>
      </c>
      <c r="N10" s="13"/>
      <c r="O10" s="13"/>
      <c r="P10" s="13">
        <f t="shared" si="3"/>
        <v>497</v>
      </c>
      <c r="Q10" s="8">
        <f t="shared" si="6"/>
        <v>263.7140952053722</v>
      </c>
      <c r="R10" s="13">
        <f t="shared" si="7"/>
        <v>131065.90531706999</v>
      </c>
      <c r="S10" s="13"/>
      <c r="T10" s="13">
        <v>102</v>
      </c>
      <c r="U10" s="8">
        <f>V10/T10</f>
        <v>368.626975085</v>
      </c>
      <c r="V10" s="13">
        <f t="shared" si="8"/>
        <v>37599.95145867</v>
      </c>
      <c r="W10" s="13">
        <v>15.504</v>
      </c>
      <c r="X10">
        <v>500.8</v>
      </c>
      <c r="Y10" s="13">
        <f>W10*X10</f>
        <v>7764.4032</v>
      </c>
      <c r="Z10" s="13">
        <v>11.526</v>
      </c>
      <c r="AA10" s="8">
        <f>0.21*524.28+0.79*359.45</f>
        <v>394.0643</v>
      </c>
      <c r="AB10" s="13">
        <f t="shared" si="9"/>
        <v>4541.9851218</v>
      </c>
      <c r="AC10" s="13">
        <v>1.02</v>
      </c>
      <c r="AD10">
        <v>255.34</v>
      </c>
      <c r="AE10" s="13">
        <f>AC10*AD10</f>
        <v>260.4468</v>
      </c>
      <c r="AF10" s="13">
        <f t="shared" si="10"/>
        <v>36.92400000000001</v>
      </c>
      <c r="AG10" s="8">
        <f>(255.34+148.59)/2</f>
        <v>201.965</v>
      </c>
      <c r="AH10" s="13">
        <f>AF10*AG10</f>
        <v>7457.355660000001</v>
      </c>
      <c r="AI10" s="13">
        <v>37.025999999999996</v>
      </c>
      <c r="AJ10" s="8">
        <f>528.25*0.847+178.165*0.153</f>
        <v>474.686995</v>
      </c>
      <c r="AK10" s="13">
        <f>AI10*AJ10</f>
        <v>17575.76067687</v>
      </c>
      <c r="AL10" s="13">
        <v>165</v>
      </c>
      <c r="AM10" s="27">
        <f t="shared" si="4"/>
        <v>270.28272599999997</v>
      </c>
      <c r="AN10" s="13">
        <f t="shared" si="11"/>
        <v>44596.649789999996</v>
      </c>
      <c r="AO10" s="13">
        <v>36.795</v>
      </c>
      <c r="AP10">
        <v>385.62</v>
      </c>
      <c r="AQ10" s="13">
        <f t="shared" si="12"/>
        <v>14188.887900000002</v>
      </c>
      <c r="AR10" s="13">
        <v>9.9</v>
      </c>
      <c r="AS10">
        <v>276.78</v>
      </c>
      <c r="AT10" s="13">
        <f t="shared" si="13"/>
        <v>2740.122</v>
      </c>
      <c r="AU10" s="13">
        <v>1.4849999999999999</v>
      </c>
      <c r="AV10">
        <v>250.26</v>
      </c>
      <c r="AW10" s="13">
        <f t="shared" si="14"/>
        <v>371.63609999999994</v>
      </c>
      <c r="AX10" s="13">
        <f t="shared" si="15"/>
        <v>70.12499999999999</v>
      </c>
      <c r="AY10" s="8">
        <f t="shared" si="16"/>
        <v>188.5096</v>
      </c>
      <c r="AZ10" s="13">
        <f t="shared" si="17"/>
        <v>13219.235699999997</v>
      </c>
      <c r="BA10" s="13">
        <v>46.69499999999999</v>
      </c>
      <c r="BB10" s="8">
        <f t="shared" si="18"/>
        <v>301.462</v>
      </c>
      <c r="BC10" s="13">
        <f t="shared" si="19"/>
        <v>14076.768089999998</v>
      </c>
      <c r="BD10" s="13">
        <v>230</v>
      </c>
      <c r="BE10" s="8">
        <f t="shared" si="5"/>
        <v>212.47523508000003</v>
      </c>
      <c r="BF10" s="13">
        <f t="shared" si="20"/>
        <v>48869.30406840001</v>
      </c>
      <c r="BG10" s="13">
        <v>45.54</v>
      </c>
      <c r="BH10">
        <v>300.48</v>
      </c>
      <c r="BI10" s="13">
        <f t="shared" si="21"/>
        <v>13683.8592</v>
      </c>
      <c r="BJ10" s="13">
        <v>13.34</v>
      </c>
      <c r="BK10">
        <v>215.67</v>
      </c>
      <c r="BL10" s="13">
        <f t="shared" si="22"/>
        <v>2877.0377999999996</v>
      </c>
      <c r="BM10" s="13">
        <v>155.94</v>
      </c>
      <c r="BN10" s="8">
        <f t="shared" si="23"/>
        <v>183.8444</v>
      </c>
      <c r="BO10" s="13">
        <f t="shared" si="24"/>
        <v>28668.695736</v>
      </c>
      <c r="BP10" s="13">
        <v>15.180000000000001</v>
      </c>
      <c r="BQ10" s="8">
        <f t="shared" si="25"/>
        <v>239.77018000000004</v>
      </c>
      <c r="BR10" s="13">
        <f t="shared" si="26"/>
        <v>3639.711332400001</v>
      </c>
      <c r="BT10" s="36" t="s">
        <v>84</v>
      </c>
      <c r="BU10" s="13">
        <f>BU8+BU9</f>
        <v>2456205.1610991834</v>
      </c>
      <c r="BV10" s="13">
        <f>BV8+BV9</f>
        <v>11135.506726041775</v>
      </c>
      <c r="BW10" s="8">
        <f>BU10/BV10</f>
        <v>220.57417067110566</v>
      </c>
      <c r="BX10" s="8">
        <f>100*BW10/BW10</f>
        <v>100</v>
      </c>
    </row>
    <row r="11" spans="1:76" ht="13.5">
      <c r="A11" t="s">
        <v>59</v>
      </c>
      <c r="B11" s="13">
        <v>485.946</v>
      </c>
      <c r="C11" s="30">
        <f t="shared" si="0"/>
        <v>212.7213832312232</v>
      </c>
      <c r="D11" s="13">
        <f t="shared" si="1"/>
        <v>103371.10529568</v>
      </c>
      <c r="E11" s="2"/>
      <c r="F11" s="13">
        <v>363.95386</v>
      </c>
      <c r="G11" s="8">
        <v>202.32</v>
      </c>
      <c r="H11" s="13">
        <f t="shared" si="2"/>
        <v>73635.1449552</v>
      </c>
      <c r="I11" s="58"/>
      <c r="J11" s="8">
        <v>202.32</v>
      </c>
      <c r="K11" s="13"/>
      <c r="L11" s="13"/>
      <c r="M11" s="8">
        <v>202.32</v>
      </c>
      <c r="N11" s="13"/>
      <c r="O11" s="13"/>
      <c r="P11" s="13">
        <f t="shared" si="3"/>
        <v>122</v>
      </c>
      <c r="Q11" s="8">
        <f t="shared" si="6"/>
        <v>243.73737984</v>
      </c>
      <c r="R11" s="13">
        <f t="shared" si="7"/>
        <v>29735.96034048</v>
      </c>
      <c r="S11" s="13"/>
      <c r="T11" s="13">
        <v>0</v>
      </c>
      <c r="U11" s="8">
        <v>0</v>
      </c>
      <c r="V11" s="13">
        <f t="shared" si="8"/>
        <v>0</v>
      </c>
      <c r="W11" s="13">
        <v>0</v>
      </c>
      <c r="X11">
        <v>0</v>
      </c>
      <c r="Y11">
        <v>0</v>
      </c>
      <c r="Z11" s="13">
        <v>0</v>
      </c>
      <c r="AA11">
        <v>0</v>
      </c>
      <c r="AB11" s="13">
        <f t="shared" si="9"/>
        <v>0</v>
      </c>
      <c r="AC11" s="13">
        <v>0</v>
      </c>
      <c r="AD11">
        <v>0</v>
      </c>
      <c r="AE11">
        <v>0</v>
      </c>
      <c r="AF11" s="13">
        <f t="shared" si="10"/>
        <v>0</v>
      </c>
      <c r="AG11">
        <v>0</v>
      </c>
      <c r="AH11">
        <v>0</v>
      </c>
      <c r="AI11" s="13">
        <v>0</v>
      </c>
      <c r="AJ11" s="13">
        <v>0</v>
      </c>
      <c r="AK11" s="13">
        <v>0</v>
      </c>
      <c r="AL11" s="13">
        <v>66</v>
      </c>
      <c r="AM11" s="27">
        <f t="shared" si="4"/>
        <v>270.262836</v>
      </c>
      <c r="AN11" s="13">
        <f t="shared" si="11"/>
        <v>17837.347176</v>
      </c>
      <c r="AO11" s="13">
        <v>14.718</v>
      </c>
      <c r="AP11">
        <v>385.62</v>
      </c>
      <c r="AQ11" s="13">
        <f t="shared" si="12"/>
        <v>5675.55516</v>
      </c>
      <c r="AR11" s="13">
        <v>3.96</v>
      </c>
      <c r="AS11">
        <v>276.78</v>
      </c>
      <c r="AT11" s="13">
        <f t="shared" si="13"/>
        <v>1096.0487999999998</v>
      </c>
      <c r="AU11" s="13">
        <v>0.594</v>
      </c>
      <c r="AV11">
        <v>248.05</v>
      </c>
      <c r="AW11" s="13">
        <f t="shared" si="14"/>
        <v>147.3417</v>
      </c>
      <c r="AX11" s="13">
        <f t="shared" si="15"/>
        <v>28.049999999999997</v>
      </c>
      <c r="AY11" s="8">
        <f t="shared" si="16"/>
        <v>188.5096</v>
      </c>
      <c r="AZ11" s="13">
        <f t="shared" si="17"/>
        <v>5287.69428</v>
      </c>
      <c r="BA11" s="13">
        <v>18.677999999999997</v>
      </c>
      <c r="BB11" s="8">
        <f t="shared" si="18"/>
        <v>301.462</v>
      </c>
      <c r="BC11" s="13">
        <f t="shared" si="19"/>
        <v>5630.707235999999</v>
      </c>
      <c r="BD11" s="13">
        <v>56</v>
      </c>
      <c r="BE11" s="8">
        <f t="shared" si="5"/>
        <v>212.47523508000003</v>
      </c>
      <c r="BF11" s="13">
        <f t="shared" si="20"/>
        <v>11898.613164480003</v>
      </c>
      <c r="BG11" s="13">
        <v>11.088000000000001</v>
      </c>
      <c r="BH11">
        <v>300.48</v>
      </c>
      <c r="BI11" s="13">
        <f t="shared" si="21"/>
        <v>3331.7222400000005</v>
      </c>
      <c r="BJ11" s="13">
        <v>3.248</v>
      </c>
      <c r="BK11">
        <v>215.67</v>
      </c>
      <c r="BL11" s="13">
        <f t="shared" si="22"/>
        <v>700.49616</v>
      </c>
      <c r="BM11" s="13">
        <v>37.968</v>
      </c>
      <c r="BN11" s="8">
        <f t="shared" si="23"/>
        <v>183.8444</v>
      </c>
      <c r="BO11" s="13">
        <f t="shared" si="24"/>
        <v>6980.204179200001</v>
      </c>
      <c r="BP11" s="13">
        <v>3.696</v>
      </c>
      <c r="BQ11" s="8">
        <f t="shared" si="25"/>
        <v>239.77018000000004</v>
      </c>
      <c r="BR11" s="13">
        <f t="shared" si="26"/>
        <v>886.1905852800002</v>
      </c>
      <c r="BW11" s="8"/>
      <c r="BX11" s="8"/>
    </row>
    <row r="12" spans="1:76" ht="13.5">
      <c r="A12" t="s">
        <v>60</v>
      </c>
      <c r="B12" s="13">
        <v>211.687</v>
      </c>
      <c r="C12" s="30">
        <f t="shared" si="0"/>
        <v>223.56353484500013</v>
      </c>
      <c r="D12" s="13">
        <f t="shared" si="1"/>
        <v>47325.494000733546</v>
      </c>
      <c r="E12" s="2"/>
      <c r="F12" s="13">
        <v>113.60811</v>
      </c>
      <c r="G12" s="8">
        <v>206.1</v>
      </c>
      <c r="H12" s="13">
        <f t="shared" si="2"/>
        <v>23414.631470999997</v>
      </c>
      <c r="I12" s="58"/>
      <c r="J12" s="8">
        <v>206.1</v>
      </c>
      <c r="K12" s="13"/>
      <c r="L12" s="13"/>
      <c r="M12" s="8">
        <v>206.1</v>
      </c>
      <c r="N12" s="13"/>
      <c r="O12" s="13"/>
      <c r="P12" s="13">
        <f t="shared" si="3"/>
        <v>98.07889</v>
      </c>
      <c r="Q12" s="8">
        <f t="shared" si="6"/>
        <v>243.79214048745402</v>
      </c>
      <c r="R12" s="13">
        <f t="shared" si="7"/>
        <v>23910.86252973355</v>
      </c>
      <c r="S12" s="13"/>
      <c r="T12" s="13">
        <v>0</v>
      </c>
      <c r="U12" s="8">
        <v>0</v>
      </c>
      <c r="V12" s="13">
        <f t="shared" si="8"/>
        <v>0</v>
      </c>
      <c r="W12" s="13">
        <v>0</v>
      </c>
      <c r="X12">
        <v>0</v>
      </c>
      <c r="Y12">
        <v>0</v>
      </c>
      <c r="Z12" s="13">
        <v>0</v>
      </c>
      <c r="AA12">
        <v>0</v>
      </c>
      <c r="AB12" s="13">
        <f t="shared" si="9"/>
        <v>0</v>
      </c>
      <c r="AC12" s="13">
        <v>0</v>
      </c>
      <c r="AD12">
        <v>0</v>
      </c>
      <c r="AE12">
        <v>0</v>
      </c>
      <c r="AF12" s="13">
        <f t="shared" si="10"/>
        <v>0</v>
      </c>
      <c r="AG12">
        <v>0</v>
      </c>
      <c r="AH12">
        <v>0</v>
      </c>
      <c r="AI12" s="13">
        <v>0</v>
      </c>
      <c r="AJ12" s="13">
        <v>0</v>
      </c>
      <c r="AK12" s="13">
        <v>0</v>
      </c>
      <c r="AL12" s="13">
        <v>52.5068805050505</v>
      </c>
      <c r="AM12" s="27">
        <f t="shared" si="4"/>
        <v>270.83628727495756</v>
      </c>
      <c r="AN12" s="13">
        <f t="shared" si="11"/>
        <v>14220.768572377727</v>
      </c>
      <c r="AO12" s="13">
        <v>11.77955044040404</v>
      </c>
      <c r="AP12">
        <v>385.62</v>
      </c>
      <c r="AQ12" s="13">
        <f t="shared" si="12"/>
        <v>4542.430240828607</v>
      </c>
      <c r="AR12" s="13">
        <v>3.14055044040404</v>
      </c>
      <c r="AS12">
        <v>276.78</v>
      </c>
      <c r="AT12" s="13">
        <f t="shared" si="13"/>
        <v>869.2415508950302</v>
      </c>
      <c r="AU12" s="13">
        <v>0.477</v>
      </c>
      <c r="AV12">
        <v>250.26</v>
      </c>
      <c r="AW12" s="13">
        <f t="shared" si="14"/>
        <v>119.37401999999999</v>
      </c>
      <c r="AX12" s="13">
        <f t="shared" si="15"/>
        <v>22.11077962424243</v>
      </c>
      <c r="AY12" s="8">
        <f t="shared" si="16"/>
        <v>188.5096</v>
      </c>
      <c r="AZ12" s="13">
        <f t="shared" si="17"/>
        <v>4168.094222654091</v>
      </c>
      <c r="BA12" s="13">
        <v>14.998999999999999</v>
      </c>
      <c r="BB12" s="8">
        <f t="shared" si="18"/>
        <v>301.462</v>
      </c>
      <c r="BC12" s="13">
        <f t="shared" si="19"/>
        <v>4521.628537999999</v>
      </c>
      <c r="BD12" s="13">
        <v>45.5720094949495</v>
      </c>
      <c r="BE12" s="8">
        <f t="shared" si="5"/>
        <v>212.63258005837386</v>
      </c>
      <c r="BF12" s="13">
        <f t="shared" si="20"/>
        <v>9690.093957355823</v>
      </c>
      <c r="BG12" s="13">
        <v>9.07376075959596</v>
      </c>
      <c r="BH12">
        <v>300.48</v>
      </c>
      <c r="BI12" s="13">
        <f t="shared" si="21"/>
        <v>2726.483633043394</v>
      </c>
      <c r="BJ12" s="13">
        <v>2.6337607595959596</v>
      </c>
      <c r="BK12">
        <v>215.67</v>
      </c>
      <c r="BL12" s="13">
        <f t="shared" si="22"/>
        <v>568.0231830220606</v>
      </c>
      <c r="BM12" s="13">
        <v>30.828487975757582</v>
      </c>
      <c r="BN12" s="8">
        <f t="shared" si="23"/>
        <v>183.8444</v>
      </c>
      <c r="BO12" s="13">
        <f t="shared" si="24"/>
        <v>5667.644874810368</v>
      </c>
      <c r="BP12" s="13">
        <v>3.036</v>
      </c>
      <c r="BQ12" s="8">
        <f t="shared" si="25"/>
        <v>239.77018000000004</v>
      </c>
      <c r="BR12" s="13">
        <f t="shared" si="26"/>
        <v>727.9422664800002</v>
      </c>
      <c r="BT12" s="36" t="s">
        <v>140</v>
      </c>
      <c r="BU12" s="13">
        <f>AK35+BC35+BR35</f>
        <v>322341.855585146</v>
      </c>
      <c r="BV12" s="13">
        <f>AI35+BA35+BP35</f>
        <v>885.2819</v>
      </c>
      <c r="BW12" s="8">
        <f>BU12/BV12</f>
        <v>364.1121043874793</v>
      </c>
      <c r="BX12" s="8">
        <f>100*BW12/BW10</f>
        <v>165.0746790885142</v>
      </c>
    </row>
    <row r="13" spans="1:76" ht="13.5">
      <c r="A13" t="s">
        <v>61</v>
      </c>
      <c r="B13" s="13">
        <v>371</v>
      </c>
      <c r="C13" s="30">
        <f t="shared" si="0"/>
        <v>209.76138647838275</v>
      </c>
      <c r="D13" s="13">
        <f t="shared" si="1"/>
        <v>77821.47438348</v>
      </c>
      <c r="E13" s="2"/>
      <c r="F13" s="13">
        <v>304</v>
      </c>
      <c r="G13" s="8">
        <v>202.32</v>
      </c>
      <c r="H13" s="13">
        <f t="shared" si="2"/>
        <v>61505.28</v>
      </c>
      <c r="I13" s="58"/>
      <c r="J13" s="8">
        <v>202.32</v>
      </c>
      <c r="K13" s="13"/>
      <c r="L13" s="13"/>
      <c r="M13" s="8">
        <v>202.32</v>
      </c>
      <c r="N13" s="13"/>
      <c r="O13" s="13"/>
      <c r="P13" s="13">
        <f t="shared" si="3"/>
        <v>67</v>
      </c>
      <c r="Q13" s="8">
        <f t="shared" si="6"/>
        <v>243.52528930567163</v>
      </c>
      <c r="R13" s="13">
        <f t="shared" si="7"/>
        <v>16316.19438348</v>
      </c>
      <c r="S13" s="13"/>
      <c r="T13" s="13">
        <v>0</v>
      </c>
      <c r="U13" s="8">
        <v>0</v>
      </c>
      <c r="V13" s="13">
        <f t="shared" si="8"/>
        <v>0</v>
      </c>
      <c r="W13" s="13">
        <v>0</v>
      </c>
      <c r="X13">
        <v>0</v>
      </c>
      <c r="Y13">
        <v>0</v>
      </c>
      <c r="Z13" s="13">
        <v>0</v>
      </c>
      <c r="AA13">
        <v>0</v>
      </c>
      <c r="AB13" s="13">
        <f t="shared" si="9"/>
        <v>0</v>
      </c>
      <c r="AC13" s="13">
        <v>0</v>
      </c>
      <c r="AD13">
        <v>0</v>
      </c>
      <c r="AE13">
        <v>0</v>
      </c>
      <c r="AF13" s="13">
        <f t="shared" si="10"/>
        <v>0</v>
      </c>
      <c r="AG13">
        <v>0</v>
      </c>
      <c r="AH13">
        <v>0</v>
      </c>
      <c r="AI13" s="13">
        <v>0</v>
      </c>
      <c r="AJ13" s="13">
        <v>0</v>
      </c>
      <c r="AK13" s="13">
        <v>0</v>
      </c>
      <c r="AL13" s="13">
        <v>36</v>
      </c>
      <c r="AM13" s="27">
        <f t="shared" si="4"/>
        <v>270.262836</v>
      </c>
      <c r="AN13" s="13">
        <f t="shared" si="11"/>
        <v>9729.462096</v>
      </c>
      <c r="AO13" s="13">
        <v>8.028</v>
      </c>
      <c r="AP13">
        <v>385.62</v>
      </c>
      <c r="AQ13" s="13">
        <f t="shared" si="12"/>
        <v>3095.75736</v>
      </c>
      <c r="AR13" s="13">
        <v>2.16</v>
      </c>
      <c r="AS13">
        <v>276.78</v>
      </c>
      <c r="AT13" s="13">
        <f t="shared" si="13"/>
        <v>597.8448</v>
      </c>
      <c r="AU13" s="13">
        <v>0.32399999999999995</v>
      </c>
      <c r="AV13">
        <v>248.05</v>
      </c>
      <c r="AW13" s="13">
        <f t="shared" si="14"/>
        <v>80.36819999999999</v>
      </c>
      <c r="AX13" s="13">
        <f t="shared" si="15"/>
        <v>15.3</v>
      </c>
      <c r="AY13" s="8">
        <f t="shared" si="16"/>
        <v>188.5096</v>
      </c>
      <c r="AZ13" s="13">
        <f t="shared" si="17"/>
        <v>2884.1968800000004</v>
      </c>
      <c r="BA13" s="13">
        <v>10.187999999999999</v>
      </c>
      <c r="BB13" s="8">
        <f t="shared" si="18"/>
        <v>301.462</v>
      </c>
      <c r="BC13" s="13">
        <f t="shared" si="19"/>
        <v>3071.2948559999995</v>
      </c>
      <c r="BD13" s="13">
        <v>31</v>
      </c>
      <c r="BE13" s="8">
        <f t="shared" si="5"/>
        <v>212.47523508</v>
      </c>
      <c r="BF13" s="13">
        <f t="shared" si="20"/>
        <v>6586.73228748</v>
      </c>
      <c r="BG13" s="13">
        <v>6.138</v>
      </c>
      <c r="BH13">
        <v>300.48</v>
      </c>
      <c r="BI13" s="13">
        <f t="shared" si="21"/>
        <v>1844.34624</v>
      </c>
      <c r="BJ13" s="13">
        <v>1.798</v>
      </c>
      <c r="BK13">
        <v>215.67</v>
      </c>
      <c r="BL13" s="13">
        <f t="shared" si="22"/>
        <v>387.77466</v>
      </c>
      <c r="BM13" s="13">
        <v>21.018</v>
      </c>
      <c r="BN13" s="8">
        <f t="shared" si="23"/>
        <v>183.8444</v>
      </c>
      <c r="BO13" s="13">
        <f t="shared" si="24"/>
        <v>3864.0415992000003</v>
      </c>
      <c r="BP13" s="13">
        <v>2.0460000000000003</v>
      </c>
      <c r="BQ13" s="8">
        <f t="shared" si="25"/>
        <v>239.77018000000004</v>
      </c>
      <c r="BR13" s="13">
        <f t="shared" si="26"/>
        <v>490.5697882800001</v>
      </c>
      <c r="BT13" s="36" t="s">
        <v>113</v>
      </c>
      <c r="BU13" s="13">
        <f>Y35+AQ35+BI35</f>
        <v>277767.694057701</v>
      </c>
      <c r="BV13" s="13">
        <f>W35+AO35+BG35</f>
        <v>764.1472335210198</v>
      </c>
      <c r="BW13" s="8">
        <f>BU13/BV13</f>
        <v>363.50022858528126</v>
      </c>
      <c r="BX13" s="8">
        <f>100*BW13/BW10</f>
        <v>164.79727770450975</v>
      </c>
    </row>
    <row r="14" spans="1:76" ht="13.5">
      <c r="A14" s="9" t="s">
        <v>62</v>
      </c>
      <c r="B14" s="32">
        <f>SUM(B8:B13)</f>
        <v>3346.8459999999995</v>
      </c>
      <c r="C14" s="31">
        <f>D14/B14</f>
        <v>220.0598769625044</v>
      </c>
      <c r="D14" s="32">
        <f>SUM(D8:D13)</f>
        <v>736506.5189724499</v>
      </c>
      <c r="E14" s="2"/>
      <c r="F14" s="13">
        <f>SUM(F8:F13)</f>
        <v>2275.45551</v>
      </c>
      <c r="G14" s="10">
        <f>H14/F14</f>
        <v>204.55515520942882</v>
      </c>
      <c r="H14" s="14">
        <f>SUM(H8:H13)</f>
        <v>465456.15502019995</v>
      </c>
      <c r="I14" s="14"/>
      <c r="J14" s="10">
        <v>204.55515520942882</v>
      </c>
      <c r="K14" s="14"/>
      <c r="L14" s="14"/>
      <c r="M14" s="10">
        <v>204.55515520942882</v>
      </c>
      <c r="N14" s="14"/>
      <c r="O14" s="13"/>
      <c r="P14" s="13">
        <f t="shared" si="3"/>
        <v>1071.39835</v>
      </c>
      <c r="Q14" s="8">
        <f t="shared" si="6"/>
        <v>252.98747562216232</v>
      </c>
      <c r="R14" s="13">
        <f t="shared" si="7"/>
        <v>271050.3639522499</v>
      </c>
      <c r="S14" s="13"/>
      <c r="T14" s="13">
        <f>SUM(T8:T13)</f>
        <v>102</v>
      </c>
      <c r="U14" s="10">
        <f>V14/T14</f>
        <v>368.626975085</v>
      </c>
      <c r="V14" s="14">
        <f>SUM(V8:V13)</f>
        <v>37599.95145867</v>
      </c>
      <c r="W14" s="13">
        <f>SUM(W8:W13)</f>
        <v>15.504</v>
      </c>
      <c r="X14" s="9">
        <f>Y14/W14</f>
        <v>500.8</v>
      </c>
      <c r="Y14" s="18">
        <f>SUM(Y8:Y13)</f>
        <v>7764.4032</v>
      </c>
      <c r="Z14" s="13">
        <f>SUM(Z8:Z13)</f>
        <v>11.526</v>
      </c>
      <c r="AA14" s="22">
        <f>AB14/Z14</f>
        <v>394.06430000000006</v>
      </c>
      <c r="AB14" s="13">
        <f>SUM(AB8:AB13)</f>
        <v>4541.9851218</v>
      </c>
      <c r="AC14" s="13">
        <f>SUM(AC8:AC13)</f>
        <v>1.02</v>
      </c>
      <c r="AD14" s="9">
        <f>AE14/AC14</f>
        <v>255.34</v>
      </c>
      <c r="AE14" s="18">
        <f>SUM(AE8:AE13)</f>
        <v>260.4468</v>
      </c>
      <c r="AF14" s="13">
        <f>SUM(AF8:AF13)</f>
        <v>36.92400000000001</v>
      </c>
      <c r="AG14" s="22">
        <f>AH14/AF14</f>
        <v>201.965</v>
      </c>
      <c r="AH14" s="18">
        <f>SUM(AH8:AH13)</f>
        <v>7457.355660000001</v>
      </c>
      <c r="AI14" s="13">
        <f>SUM(AI8:AI13)</f>
        <v>37.025999999999996</v>
      </c>
      <c r="AJ14" s="22">
        <f>AK14/AI14</f>
        <v>474.686995</v>
      </c>
      <c r="AK14" s="18">
        <f>SUM(AK8:AK13)</f>
        <v>17575.76067687</v>
      </c>
      <c r="AL14" s="13">
        <f>SUM(AL8:AL13)</f>
        <v>473.60469587347154</v>
      </c>
      <c r="AM14" s="22">
        <f>AN14/AL14</f>
        <v>270.4498695908615</v>
      </c>
      <c r="AN14" s="14">
        <f>SUM(AN8:AN13)</f>
        <v>128086.3282366</v>
      </c>
      <c r="AO14" s="13">
        <f>SUM(AO8:AO13)</f>
        <v>105.81337566987773</v>
      </c>
      <c r="AP14" s="6">
        <f>AQ14/AO14</f>
        <v>385.62000000000006</v>
      </c>
      <c r="AQ14" s="14">
        <f>SUM(AQ8:AQ13)</f>
        <v>40803.75392581826</v>
      </c>
      <c r="AR14" s="13">
        <f>SUM(AR8:AR13)</f>
        <v>28.38837566987773</v>
      </c>
      <c r="AS14" s="6">
        <f>AT8/AR8</f>
        <v>276.78</v>
      </c>
      <c r="AT14" s="14">
        <f>SUM(AT8:AT13)</f>
        <v>7857.334617908756</v>
      </c>
      <c r="AU14" s="13">
        <f>SUM(AU8:AU13)</f>
        <v>4.2749999999999995</v>
      </c>
      <c r="AV14" s="10">
        <f>AW14/AU14</f>
        <v>249.53884210526314</v>
      </c>
      <c r="AW14" s="14">
        <f>SUM(AW8:AW13)</f>
        <v>1066.7785499999998</v>
      </c>
      <c r="AX14" s="13">
        <f>SUM(AX8:AX13)</f>
        <v>200.70294453371613</v>
      </c>
      <c r="AY14" s="8">
        <f>AZ14/AX14</f>
        <v>188.50959999999998</v>
      </c>
      <c r="AZ14" s="14">
        <f>SUM(AZ8:AZ13)</f>
        <v>37834.43179287301</v>
      </c>
      <c r="BA14" s="13">
        <f>SUM(BA8:BA13)</f>
        <v>134.42499999999998</v>
      </c>
      <c r="BB14" s="10">
        <f>BC14/BA14</f>
        <v>301.462</v>
      </c>
      <c r="BC14" s="14">
        <f>SUM(BC8:BC13)</f>
        <v>40524.02935</v>
      </c>
      <c r="BD14" s="13">
        <f>SUM(BD8:BD13)</f>
        <v>495.79365412652845</v>
      </c>
      <c r="BE14" s="22">
        <f t="shared" si="5"/>
        <v>212.51600011421402</v>
      </c>
      <c r="BF14" s="32">
        <f>SUM(BF8:BF13)</f>
        <v>105364.08425697991</v>
      </c>
      <c r="BG14" s="13">
        <f>SUM(BG8:BG13)</f>
        <v>98.30949233012228</v>
      </c>
      <c r="BH14" s="33">
        <f>BI14/BG14</f>
        <v>300.47999999999996</v>
      </c>
      <c r="BI14" s="32">
        <f>SUM(BI8:BI13)</f>
        <v>29540.03625535514</v>
      </c>
      <c r="BJ14" s="13">
        <f>SUM(BJ8:BJ13)</f>
        <v>28.729492330122277</v>
      </c>
      <c r="BK14" s="33">
        <f>BL14/BJ14</f>
        <v>215.66999999999996</v>
      </c>
      <c r="BL14" s="32">
        <f>SUM(BL8:BL13)</f>
        <v>6196.08961083747</v>
      </c>
      <c r="BM14" s="13">
        <f>SUM(BM8:BM13)</f>
        <v>335.95266946628396</v>
      </c>
      <c r="BN14" s="34">
        <f>BO14/BM14</f>
        <v>183.84439999999998</v>
      </c>
      <c r="BO14" s="32">
        <f>SUM(BO8:BO13)</f>
        <v>61763.016946427284</v>
      </c>
      <c r="BP14" s="13">
        <f>SUM(BP8:BP13)</f>
        <v>32.80200000000001</v>
      </c>
      <c r="BQ14" s="34">
        <f>BR14/BP14</f>
        <v>239.77018000000004</v>
      </c>
      <c r="BR14" s="32">
        <f>SUM(BR8:BR13)</f>
        <v>7864.941444360003</v>
      </c>
      <c r="BT14" s="36" t="s">
        <v>86</v>
      </c>
      <c r="BU14" s="13">
        <f>AB35+AT35+BL35</f>
        <v>60907.69291412831</v>
      </c>
      <c r="BV14" s="13">
        <f>Z35+AR35+BJ35</f>
        <v>209.64083352101977</v>
      </c>
      <c r="BW14" s="8">
        <f>BU14/BV14</f>
        <v>290.5335372463178</v>
      </c>
      <c r="BX14" s="8">
        <f>100*BW14/BW10</f>
        <v>131.71693510729656</v>
      </c>
    </row>
    <row r="15" spans="1:76" ht="22.5" customHeight="1">
      <c r="A15" s="3"/>
      <c r="B15" s="13"/>
      <c r="C15" s="3"/>
      <c r="D15" s="13"/>
      <c r="E15" s="2"/>
      <c r="F15" s="13"/>
      <c r="G15" s="8"/>
      <c r="H15" s="13"/>
      <c r="I15" s="13"/>
      <c r="J15" s="8"/>
      <c r="K15" s="13"/>
      <c r="L15" s="13"/>
      <c r="M15" s="8"/>
      <c r="N15" s="13"/>
      <c r="O15" s="13"/>
      <c r="P15" s="13"/>
      <c r="Q15" s="8"/>
      <c r="R15" s="13"/>
      <c r="S15" s="13"/>
      <c r="T15" s="13"/>
      <c r="U15" s="8"/>
      <c r="V15" s="13"/>
      <c r="W15" s="13"/>
      <c r="X15" s="3"/>
      <c r="Y15" s="3"/>
      <c r="Z15" s="13"/>
      <c r="AA15" s="3"/>
      <c r="AB15" s="13"/>
      <c r="AC15" s="13"/>
      <c r="AD15" s="3"/>
      <c r="AE15" s="3"/>
      <c r="AF15" s="13"/>
      <c r="AG15" s="3"/>
      <c r="AH15" s="3"/>
      <c r="AI15" s="13"/>
      <c r="AJ15" s="23"/>
      <c r="AK15" s="19"/>
      <c r="AL15" s="13"/>
      <c r="AM15" s="3"/>
      <c r="AN15" s="13"/>
      <c r="AO15" s="13"/>
      <c r="AQ15" s="13"/>
      <c r="AR15" s="13"/>
      <c r="AT15" s="13"/>
      <c r="AU15" s="13"/>
      <c r="AV15" s="8"/>
      <c r="AW15" s="13"/>
      <c r="AX15" s="13"/>
      <c r="AY15" s="8"/>
      <c r="AZ15" s="13"/>
      <c r="BA15" s="13"/>
      <c r="BB15" s="8"/>
      <c r="BC15" s="13"/>
      <c r="BD15" s="13"/>
      <c r="BE15" s="3"/>
      <c r="BF15" s="13"/>
      <c r="BG15" s="13"/>
      <c r="BI15" s="13"/>
      <c r="BJ15" s="13"/>
      <c r="BL15" s="13"/>
      <c r="BM15" s="13"/>
      <c r="BN15" s="8"/>
      <c r="BO15" s="13"/>
      <c r="BP15" s="13"/>
      <c r="BQ15" s="8"/>
      <c r="BR15" s="13"/>
      <c r="BT15" s="36" t="s">
        <v>20</v>
      </c>
      <c r="BU15" s="41">
        <f>H35</f>
        <v>1518462.6157344293</v>
      </c>
      <c r="BV15" s="13">
        <f>F35</f>
        <v>7800.135087029028</v>
      </c>
      <c r="BW15" s="8">
        <f>BU15/BV15</f>
        <v>194.6713228415115</v>
      </c>
      <c r="BX15" s="8">
        <f>100*BW15/BW10</f>
        <v>88.2566268975267</v>
      </c>
    </row>
    <row r="16" spans="1:76" ht="13.5">
      <c r="A16" t="s">
        <v>66</v>
      </c>
      <c r="B16" s="13">
        <v>516.472</v>
      </c>
      <c r="C16" s="30">
        <f aca="true" t="shared" si="27" ref="C16:C35">D16/B16</f>
        <v>203.51781454723067</v>
      </c>
      <c r="D16" s="13">
        <f>H16+V16+AN16+BF16</f>
        <v>105111.25271483732</v>
      </c>
      <c r="E16" s="2"/>
      <c r="F16" s="13">
        <v>411.46</v>
      </c>
      <c r="G16" s="8">
        <v>192.27</v>
      </c>
      <c r="H16" s="13">
        <f>F16*G16</f>
        <v>79111.4142</v>
      </c>
      <c r="I16" s="13"/>
      <c r="J16" s="8">
        <v>192.27</v>
      </c>
      <c r="K16" s="13"/>
      <c r="L16" s="13"/>
      <c r="M16" s="8">
        <v>192.27</v>
      </c>
      <c r="N16" s="13"/>
      <c r="O16" s="13"/>
      <c r="P16" s="13">
        <f>T16+AL16+BD16</f>
        <v>105.00648000000001</v>
      </c>
      <c r="Q16" s="8">
        <f t="shared" si="6"/>
        <v>247.602229070409</v>
      </c>
      <c r="R16" s="13">
        <f t="shared" si="7"/>
        <v>25999.838514837324</v>
      </c>
      <c r="S16" s="13"/>
      <c r="T16" s="13">
        <v>0</v>
      </c>
      <c r="U16" s="8">
        <v>0</v>
      </c>
      <c r="V16" s="13">
        <f t="shared" si="8"/>
        <v>0</v>
      </c>
      <c r="W16" s="13">
        <v>0</v>
      </c>
      <c r="X16">
        <v>0</v>
      </c>
      <c r="Y16">
        <v>0</v>
      </c>
      <c r="Z16" s="13">
        <v>0</v>
      </c>
      <c r="AA16">
        <v>0</v>
      </c>
      <c r="AB16" s="13">
        <f t="shared" si="9"/>
        <v>0</v>
      </c>
      <c r="AC16" s="13">
        <v>0</v>
      </c>
      <c r="AD16">
        <v>0</v>
      </c>
      <c r="AE16">
        <v>0</v>
      </c>
      <c r="AF16" s="13">
        <f t="shared" si="10"/>
        <v>0</v>
      </c>
      <c r="AG16">
        <v>0</v>
      </c>
      <c r="AH16">
        <v>0</v>
      </c>
      <c r="AI16" s="13">
        <v>0</v>
      </c>
      <c r="AJ16" s="13">
        <v>0</v>
      </c>
      <c r="AK16" s="13">
        <v>0</v>
      </c>
      <c r="AL16" s="13">
        <v>56.12415310344828</v>
      </c>
      <c r="AM16" s="27">
        <f aca="true" t="shared" si="28" ref="AM16:AM35">AN16/AL16</f>
        <v>276.66900209982015</v>
      </c>
      <c r="AN16" s="13">
        <f t="shared" si="11"/>
        <v>15527.81343282856</v>
      </c>
      <c r="AO16" s="13">
        <v>13.355932248275863</v>
      </c>
      <c r="AP16">
        <v>385.62</v>
      </c>
      <c r="AQ16" s="13">
        <f t="shared" si="12"/>
        <v>5150.3145935801385</v>
      </c>
      <c r="AR16" s="13">
        <v>3.2499322482758624</v>
      </c>
      <c r="AS16">
        <v>276.78</v>
      </c>
      <c r="AT16" s="13">
        <f t="shared" si="13"/>
        <v>899.5162476777931</v>
      </c>
      <c r="AU16" s="13">
        <v>0.5579999999999999</v>
      </c>
      <c r="AV16">
        <v>271.92</v>
      </c>
      <c r="AW16" s="13">
        <f t="shared" si="14"/>
        <v>151.73136</v>
      </c>
      <c r="AX16" s="13">
        <f t="shared" si="15"/>
        <v>21.414288606896555</v>
      </c>
      <c r="AY16" s="8">
        <f t="shared" si="16"/>
        <v>188.5096</v>
      </c>
      <c r="AZ16" s="13">
        <f t="shared" si="17"/>
        <v>4036.798979570627</v>
      </c>
      <c r="BA16" s="13">
        <v>17.546</v>
      </c>
      <c r="BB16" s="8">
        <f t="shared" si="18"/>
        <v>301.462</v>
      </c>
      <c r="BC16" s="13">
        <f t="shared" si="19"/>
        <v>5289.452252</v>
      </c>
      <c r="BD16" s="13">
        <v>48.88232689655173</v>
      </c>
      <c r="BE16" s="8">
        <f aca="true" t="shared" si="29" ref="BE16:BE21">BF16/BD16</f>
        <v>214.22926744404805</v>
      </c>
      <c r="BF16" s="13">
        <f t="shared" si="20"/>
        <v>10472.025082008764</v>
      </c>
      <c r="BG16" s="13">
        <v>10.28258615172414</v>
      </c>
      <c r="BH16">
        <v>300.48</v>
      </c>
      <c r="BI16" s="13">
        <f t="shared" si="21"/>
        <v>3089.7114868700696</v>
      </c>
      <c r="BJ16" s="13">
        <v>2.7225861517241383</v>
      </c>
      <c r="BK16">
        <v>215.67</v>
      </c>
      <c r="BL16" s="13">
        <f t="shared" si="22"/>
        <v>587.1801553423448</v>
      </c>
      <c r="BM16" s="13">
        <v>32.313154593103455</v>
      </c>
      <c r="BN16" s="8">
        <f t="shared" si="23"/>
        <v>183.8444</v>
      </c>
      <c r="BO16" s="13">
        <f t="shared" si="24"/>
        <v>5940.592518276349</v>
      </c>
      <c r="BP16" s="13">
        <v>3.564</v>
      </c>
      <c r="BQ16" s="8">
        <f t="shared" si="25"/>
        <v>239.77018000000004</v>
      </c>
      <c r="BR16" s="13">
        <f t="shared" si="26"/>
        <v>854.5409215200001</v>
      </c>
      <c r="BT16" s="36" t="s">
        <v>115</v>
      </c>
      <c r="BU16" s="13">
        <f>AE35+AZ35+BO35</f>
        <v>245851.37763477882</v>
      </c>
      <c r="BV16" s="13">
        <f>AF35+AX35+BM35</f>
        <v>1456.5150019707078</v>
      </c>
      <c r="BW16" s="8">
        <f>BU16/BV16</f>
        <v>168.7942639122389</v>
      </c>
      <c r="BX16" s="8">
        <f>100*BW16/BW10</f>
        <v>76.52494550865845</v>
      </c>
    </row>
    <row r="17" spans="1:70" ht="13.5">
      <c r="A17" t="s">
        <v>67</v>
      </c>
      <c r="B17" s="13">
        <v>1504.3136915688367</v>
      </c>
      <c r="C17" s="30">
        <f t="shared" si="27"/>
        <v>229.25976450711767</v>
      </c>
      <c r="D17" s="13">
        <f>H17+V17+AN17+BF17</f>
        <v>344878.60267390433</v>
      </c>
      <c r="E17" s="2"/>
      <c r="F17" s="13">
        <v>1035.1792909071505</v>
      </c>
      <c r="G17" s="8">
        <v>192.27</v>
      </c>
      <c r="H17" s="13">
        <f>F17*G17</f>
        <v>199033.92226271785</v>
      </c>
      <c r="I17" s="13"/>
      <c r="J17" s="8">
        <v>192.27</v>
      </c>
      <c r="K17" s="13"/>
      <c r="L17" s="13"/>
      <c r="M17" s="8">
        <v>192.27</v>
      </c>
      <c r="N17" s="13"/>
      <c r="O17" s="13"/>
      <c r="P17" s="13">
        <f>T17+AL17+BD17</f>
        <v>469.13440066168624</v>
      </c>
      <c r="Q17" s="8">
        <f t="shared" si="6"/>
        <v>310.8803792803964</v>
      </c>
      <c r="R17" s="13">
        <f t="shared" si="7"/>
        <v>145844.68041118648</v>
      </c>
      <c r="S17" s="13"/>
      <c r="T17" s="13">
        <v>203.75</v>
      </c>
      <c r="U17" s="8">
        <f>V17/T17</f>
        <v>422.529292030724</v>
      </c>
      <c r="V17" s="13">
        <f t="shared" si="8"/>
        <v>86090.34325126001</v>
      </c>
      <c r="W17" s="13">
        <v>42.1685</v>
      </c>
      <c r="X17">
        <v>500.8</v>
      </c>
      <c r="Y17" s="13">
        <f>W17*X17</f>
        <v>21117.984800000002</v>
      </c>
      <c r="Z17" s="13">
        <v>31.315000000000005</v>
      </c>
      <c r="AA17" s="8">
        <f>0.211*524.28+0.789*359.45</f>
        <v>394.22912999999994</v>
      </c>
      <c r="AB17" s="13">
        <f t="shared" si="9"/>
        <v>12345.28520595</v>
      </c>
      <c r="AC17" s="13">
        <v>1.5505</v>
      </c>
      <c r="AD17">
        <v>255.34</v>
      </c>
      <c r="AE17" s="13">
        <f>AC17*AD17</f>
        <v>395.90467</v>
      </c>
      <c r="AF17" s="13">
        <f t="shared" si="10"/>
        <v>25.497</v>
      </c>
      <c r="AG17">
        <v>201.97</v>
      </c>
      <c r="AH17" s="13">
        <f>AF17*AG17</f>
        <v>5149.62909</v>
      </c>
      <c r="AI17" s="13">
        <v>103.21900000000001</v>
      </c>
      <c r="AJ17" s="8">
        <f>528.25*0.794+178.165*0.206</f>
        <v>456.13248999999996</v>
      </c>
      <c r="AK17" s="13">
        <f>AI17*AJ17</f>
        <v>47081.53948531</v>
      </c>
      <c r="AL17" s="13">
        <v>48.29475643392554</v>
      </c>
      <c r="AM17" s="27">
        <f t="shared" si="28"/>
        <v>275.6270453257621</v>
      </c>
      <c r="AN17" s="13">
        <f t="shared" si="11"/>
        <v>13311.341020610236</v>
      </c>
      <c r="AO17" s="13">
        <v>11.371080514714043</v>
      </c>
      <c r="AP17">
        <v>385.62</v>
      </c>
      <c r="AQ17" s="13">
        <f t="shared" si="12"/>
        <v>4384.91606808403</v>
      </c>
      <c r="AR17" s="13">
        <v>2.8135805147140434</v>
      </c>
      <c r="AS17">
        <v>276.78</v>
      </c>
      <c r="AT17" s="13">
        <f t="shared" si="13"/>
        <v>778.7428148625528</v>
      </c>
      <c r="AU17" s="13">
        <v>0.4725</v>
      </c>
      <c r="AV17">
        <v>271.92</v>
      </c>
      <c r="AW17" s="13">
        <f t="shared" si="14"/>
        <v>128.4822</v>
      </c>
      <c r="AX17" s="13">
        <f t="shared" si="15"/>
        <v>18.780095404497462</v>
      </c>
      <c r="AY17" s="8">
        <f t="shared" si="16"/>
        <v>188.5096</v>
      </c>
      <c r="AZ17" s="13">
        <f t="shared" si="17"/>
        <v>3540.228272663655</v>
      </c>
      <c r="BA17" s="13">
        <v>14.857499999999998</v>
      </c>
      <c r="BB17" s="8">
        <f t="shared" si="18"/>
        <v>301.462</v>
      </c>
      <c r="BC17" s="13">
        <f t="shared" si="19"/>
        <v>4478.971664999999</v>
      </c>
      <c r="BD17" s="13">
        <v>217.0896442277607</v>
      </c>
      <c r="BE17" s="8">
        <f t="shared" si="29"/>
        <v>213.9346457751358</v>
      </c>
      <c r="BF17" s="13">
        <f t="shared" si="20"/>
        <v>46442.99613931624</v>
      </c>
      <c r="BG17" s="13">
        <v>45.21517153822086</v>
      </c>
      <c r="BH17">
        <v>300.48</v>
      </c>
      <c r="BI17" s="13">
        <f t="shared" si="21"/>
        <v>13586.254743804604</v>
      </c>
      <c r="BJ17" s="13">
        <v>12.175171538220855</v>
      </c>
      <c r="BK17">
        <v>215.67</v>
      </c>
      <c r="BL17" s="13">
        <f t="shared" si="22"/>
        <v>2625.8192456480915</v>
      </c>
      <c r="BM17" s="13">
        <v>144.12330115131897</v>
      </c>
      <c r="BN17" s="8">
        <f t="shared" si="23"/>
        <v>183.8444</v>
      </c>
      <c r="BO17" s="13">
        <f t="shared" si="24"/>
        <v>26496.261826183545</v>
      </c>
      <c r="BP17" s="13">
        <v>15.576</v>
      </c>
      <c r="BQ17" s="8">
        <f t="shared" si="25"/>
        <v>239.77018000000004</v>
      </c>
      <c r="BR17" s="13">
        <f t="shared" si="26"/>
        <v>3734.6603236800006</v>
      </c>
    </row>
    <row r="18" spans="1:83" ht="13.5">
      <c r="A18" t="s">
        <v>68</v>
      </c>
      <c r="B18" s="41">
        <v>1595.623</v>
      </c>
      <c r="C18" s="30">
        <f t="shared" si="27"/>
        <v>225.99684571195635</v>
      </c>
      <c r="D18" s="13">
        <f>H18+V18+AN18+BF18</f>
        <v>360605.76494544896</v>
      </c>
      <c r="E18" s="2"/>
      <c r="F18" s="13">
        <v>1117.62</v>
      </c>
      <c r="G18" s="8">
        <v>197.08</v>
      </c>
      <c r="H18" s="13">
        <f>F18*G18</f>
        <v>220260.5496</v>
      </c>
      <c r="I18" s="13"/>
      <c r="J18" s="8">
        <v>197.08</v>
      </c>
      <c r="K18" s="13"/>
      <c r="L18" s="13"/>
      <c r="M18" s="8">
        <v>197.08</v>
      </c>
      <c r="N18" s="13"/>
      <c r="O18" s="13"/>
      <c r="P18" s="13">
        <f>T18+AL18+BD18</f>
        <v>477.99741</v>
      </c>
      <c r="Q18" s="8">
        <f t="shared" si="6"/>
        <v>293.6108280282292</v>
      </c>
      <c r="R18" s="13">
        <f t="shared" si="7"/>
        <v>140345.21534544896</v>
      </c>
      <c r="S18" s="13"/>
      <c r="T18" s="13">
        <v>154.95</v>
      </c>
      <c r="U18" s="8">
        <f>V18/T18</f>
        <v>424.2320939833689</v>
      </c>
      <c r="V18" s="13">
        <f t="shared" si="8"/>
        <v>65734.762962723</v>
      </c>
      <c r="W18" s="13">
        <v>30.853900000000003</v>
      </c>
      <c r="X18">
        <v>500.8</v>
      </c>
      <c r="Y18" s="13">
        <f>W18*X18</f>
        <v>15451.633120000002</v>
      </c>
      <c r="Z18" s="13">
        <v>11.8707</v>
      </c>
      <c r="AA18" s="8">
        <f>0.227*524.28+0.773*359.45</f>
        <v>396.86641</v>
      </c>
      <c r="AB18" s="13">
        <f t="shared" si="9"/>
        <v>4711.082093186999</v>
      </c>
      <c r="AC18" s="13">
        <v>1.7115999999999998</v>
      </c>
      <c r="AD18">
        <v>255.34</v>
      </c>
      <c r="AE18" s="13">
        <f>AC18*AD18</f>
        <v>437.03994399999993</v>
      </c>
      <c r="AF18" s="13">
        <f t="shared" si="10"/>
        <v>34.73659999999998</v>
      </c>
      <c r="AG18">
        <v>201.97</v>
      </c>
      <c r="AH18" s="13">
        <f>AF18*AG18</f>
        <v>7015.7511019999965</v>
      </c>
      <c r="AI18" s="13">
        <v>75.7772</v>
      </c>
      <c r="AJ18" s="8">
        <f>528.25*0.928+178.165*0.072</f>
        <v>503.04388</v>
      </c>
      <c r="AK18" s="13">
        <f>AI18*AJ18</f>
        <v>38119.256703536</v>
      </c>
      <c r="AL18" s="13">
        <v>101.973607875</v>
      </c>
      <c r="AM18" s="27">
        <f t="shared" si="28"/>
        <v>270.876233753276</v>
      </c>
      <c r="AN18" s="13">
        <f t="shared" si="11"/>
        <v>27622.226843413402</v>
      </c>
      <c r="AO18" s="13">
        <v>22.80108863</v>
      </c>
      <c r="AP18">
        <v>385.62</v>
      </c>
      <c r="AQ18" s="13">
        <f t="shared" si="12"/>
        <v>8792.5557975006</v>
      </c>
      <c r="AR18" s="13">
        <v>6.10988863</v>
      </c>
      <c r="AS18">
        <v>276.78</v>
      </c>
      <c r="AT18" s="13">
        <f t="shared" si="13"/>
        <v>1691.0949750114</v>
      </c>
      <c r="AU18" s="13">
        <v>0.9216</v>
      </c>
      <c r="AV18">
        <v>288.66</v>
      </c>
      <c r="AW18" s="13">
        <f t="shared" si="14"/>
        <v>266.029056</v>
      </c>
      <c r="AX18" s="13">
        <f t="shared" si="15"/>
        <v>43.16183061500001</v>
      </c>
      <c r="AY18" s="8">
        <f t="shared" si="16"/>
        <v>188.5096</v>
      </c>
      <c r="AZ18" s="13">
        <f t="shared" si="17"/>
        <v>8136.419424501406</v>
      </c>
      <c r="BA18" s="13">
        <v>28.9792</v>
      </c>
      <c r="BB18" s="8">
        <f t="shared" si="18"/>
        <v>301.462</v>
      </c>
      <c r="BC18" s="13">
        <f t="shared" si="19"/>
        <v>8736.1275904</v>
      </c>
      <c r="BD18" s="13">
        <v>221.073802125</v>
      </c>
      <c r="BE18" s="8">
        <f t="shared" si="29"/>
        <v>212.54542640355177</v>
      </c>
      <c r="BF18" s="13">
        <f t="shared" si="20"/>
        <v>46988.22553931255</v>
      </c>
      <c r="BG18" s="13">
        <v>43.881904170000006</v>
      </c>
      <c r="BH18">
        <v>300.48</v>
      </c>
      <c r="BI18" s="13">
        <f t="shared" si="21"/>
        <v>13185.634565001603</v>
      </c>
      <c r="BJ18" s="13">
        <v>12.801904170000002</v>
      </c>
      <c r="BK18">
        <v>215.67</v>
      </c>
      <c r="BL18" s="13">
        <f t="shared" si="22"/>
        <v>2760.9866723439004</v>
      </c>
      <c r="BM18" s="13">
        <v>149.73799378499996</v>
      </c>
      <c r="BN18" s="8">
        <f t="shared" si="23"/>
        <v>183.8444</v>
      </c>
      <c r="BO18" s="13">
        <f t="shared" si="24"/>
        <v>27528.491624607046</v>
      </c>
      <c r="BP18" s="13">
        <v>14.652000000000001</v>
      </c>
      <c r="BQ18" s="8">
        <f t="shared" si="25"/>
        <v>239.77018000000004</v>
      </c>
      <c r="BR18" s="13">
        <f t="shared" si="26"/>
        <v>3513.112677360001</v>
      </c>
      <c r="BY18" s="6"/>
      <c r="BZ18" s="6"/>
      <c r="CA18" s="6"/>
      <c r="CB18" s="6"/>
      <c r="CC18" s="6"/>
      <c r="CD18" s="6"/>
      <c r="CE18" s="6"/>
    </row>
    <row r="19" spans="1:83" s="6" customFormat="1" ht="13.5">
      <c r="A19" s="9" t="s">
        <v>163</v>
      </c>
      <c r="B19" s="14">
        <f>SUM(B16:B18)</f>
        <v>3616.4086915688367</v>
      </c>
      <c r="C19" s="31">
        <f>D19/B19</f>
        <v>224.14380936092306</v>
      </c>
      <c r="D19" s="14">
        <f>SUM(D16:D18)</f>
        <v>810595.6203341905</v>
      </c>
      <c r="E19" s="2"/>
      <c r="F19" s="14">
        <f>SUM(F16:F18)</f>
        <v>2564.2592909071504</v>
      </c>
      <c r="G19" s="22">
        <f>H19/F19</f>
        <v>194.36641521786134</v>
      </c>
      <c r="H19" s="18">
        <f>SUM(H16:H18)</f>
        <v>498405.8860627179</v>
      </c>
      <c r="I19" s="18"/>
      <c r="J19" s="22">
        <v>194.36641521786134</v>
      </c>
      <c r="K19" s="18"/>
      <c r="L19" s="18"/>
      <c r="M19" s="22">
        <v>194.36641521786134</v>
      </c>
      <c r="N19" s="18"/>
      <c r="O19" s="14"/>
      <c r="P19" s="14">
        <f>T19+AL19+BD19</f>
        <v>1052.1382906616861</v>
      </c>
      <c r="Q19" s="10">
        <f>R19/P19</f>
        <v>296.71929730372017</v>
      </c>
      <c r="R19" s="14">
        <f>V19+AN19+BF19</f>
        <v>312189.7342714728</v>
      </c>
      <c r="S19" s="14"/>
      <c r="T19" s="14">
        <f>SUM(T16:T18)</f>
        <v>358.7</v>
      </c>
      <c r="U19" s="10">
        <f>V19/T19</f>
        <v>423.2648625982242</v>
      </c>
      <c r="V19" s="14">
        <f>SUM(V16:V18)</f>
        <v>151825.10621398303</v>
      </c>
      <c r="W19" s="14">
        <f>SUM(W16:W18)</f>
        <v>73.0224</v>
      </c>
      <c r="X19" s="9">
        <f>Y19/W19</f>
        <v>500.8</v>
      </c>
      <c r="Y19" s="18">
        <f>SUM(Y16:Y18)</f>
        <v>36569.617920000004</v>
      </c>
      <c r="Z19" s="14">
        <f>SUM(Z16:Z18)</f>
        <v>43.185700000000004</v>
      </c>
      <c r="AA19" s="22">
        <f>AB19/Z19</f>
        <v>394.95405421556205</v>
      </c>
      <c r="AB19" s="14">
        <f>SUM(AB16:AB18)</f>
        <v>17056.367299137</v>
      </c>
      <c r="AC19" s="14">
        <f>SUM(AC16:AC18)</f>
        <v>3.2620999999999998</v>
      </c>
      <c r="AD19" s="22">
        <f>AE19/AC19</f>
        <v>255.34000000000003</v>
      </c>
      <c r="AE19" s="18">
        <f>SUM(AE16:AE18)</f>
        <v>832.944614</v>
      </c>
      <c r="AF19" s="14">
        <f>SUM(AF16:AF18)</f>
        <v>60.23359999999998</v>
      </c>
      <c r="AG19" s="22">
        <f>AH19/AF19</f>
        <v>201.97</v>
      </c>
      <c r="AH19" s="18">
        <f>SUM(AH16:AH18)</f>
        <v>12165.380191999997</v>
      </c>
      <c r="AI19" s="14">
        <f>SUM(AI16:AI18)</f>
        <v>178.9962</v>
      </c>
      <c r="AJ19" s="22">
        <f>AK19/AI19</f>
        <v>475.9922064761487</v>
      </c>
      <c r="AK19" s="18">
        <f>SUM(AK16:AK18)</f>
        <v>85200.796188846</v>
      </c>
      <c r="AL19" s="14">
        <f>SUM(AL16:AL18)</f>
        <v>206.39251741237382</v>
      </c>
      <c r="AM19" s="22">
        <f>AN19/AL19</f>
        <v>273.5631213996093</v>
      </c>
      <c r="AN19" s="14">
        <f>SUM(AN16:AN18)</f>
        <v>56461.381296852196</v>
      </c>
      <c r="AO19" s="14">
        <f>SUM(AO16:AO18)</f>
        <v>47.52810139298991</v>
      </c>
      <c r="AP19" s="6">
        <f>AQ19/AO19</f>
        <v>385.61999999999995</v>
      </c>
      <c r="AQ19" s="14">
        <f>SUM(AQ16:AQ18)</f>
        <v>18327.786459164767</v>
      </c>
      <c r="AR19" s="14">
        <f>SUM(AR16:AR18)</f>
        <v>12.173401392989906</v>
      </c>
      <c r="AS19" s="6">
        <f>AT19/AR19</f>
        <v>276.78</v>
      </c>
      <c r="AT19" s="14">
        <f>SUM(AT16:AT18)</f>
        <v>3369.354037551746</v>
      </c>
      <c r="AU19" s="14">
        <f>SUM(AU16:AU18)</f>
        <v>1.9521</v>
      </c>
      <c r="AV19" s="22">
        <f>AW19/AU19</f>
        <v>279.8230705394191</v>
      </c>
      <c r="AW19" s="14">
        <f>SUM(AW16:AW18)</f>
        <v>546.242616</v>
      </c>
      <c r="AX19" s="14">
        <f>SUM(AX16:AX18)</f>
        <v>83.35621462639403</v>
      </c>
      <c r="AY19" s="10">
        <f>AZ19/AX19</f>
        <v>188.50959999999998</v>
      </c>
      <c r="AZ19" s="14">
        <f>SUM(AZ16:AZ18)</f>
        <v>15713.446676735688</v>
      </c>
      <c r="BA19" s="14">
        <f>SUM(BA16:BA18)</f>
        <v>61.38269999999999</v>
      </c>
      <c r="BB19" s="10">
        <f>BC19/BA19</f>
        <v>301.46200000000005</v>
      </c>
      <c r="BC19" s="14">
        <f>SUM(BC16:BC18)</f>
        <v>18504.5515074</v>
      </c>
      <c r="BD19" s="14">
        <f>SUM(BD16:BD18)</f>
        <v>487.0457732493124</v>
      </c>
      <c r="BE19" s="22">
        <f t="shared" si="29"/>
        <v>213.33363816597756</v>
      </c>
      <c r="BF19" s="14">
        <f>SUM(BF16:BF18)</f>
        <v>103903.24676063756</v>
      </c>
      <c r="BG19" s="14">
        <f>SUM(BG16:BG18)</f>
        <v>99.379661859945</v>
      </c>
      <c r="BH19" s="6">
        <f>BI19/BG19</f>
        <v>300.48</v>
      </c>
      <c r="BI19" s="14">
        <f>SUM(BI16:BI18)</f>
        <v>29861.600795676277</v>
      </c>
      <c r="BJ19" s="14">
        <f>SUM(BJ16:BJ18)</f>
        <v>27.699661859944996</v>
      </c>
      <c r="BK19" s="6">
        <f>BL19/BJ19</f>
        <v>215.67</v>
      </c>
      <c r="BL19" s="14">
        <f>SUM(BL16:BL18)</f>
        <v>5973.986073334337</v>
      </c>
      <c r="BM19" s="14">
        <f>SUM(BM16:BM18)</f>
        <v>326.1744495294224</v>
      </c>
      <c r="BN19" s="10">
        <f>BO19/BM19</f>
        <v>183.84439999999998</v>
      </c>
      <c r="BO19" s="14">
        <f>SUM(BO16:BO18)</f>
        <v>59965.34596906694</v>
      </c>
      <c r="BP19" s="14">
        <f>SUM(BP16:BP18)</f>
        <v>33.792</v>
      </c>
      <c r="BQ19" s="10">
        <f>BR19/BP19</f>
        <v>239.77018000000004</v>
      </c>
      <c r="BR19" s="14">
        <f>SUM(BR16:BR18)</f>
        <v>8102.313922560002</v>
      </c>
      <c r="BY19"/>
      <c r="BZ19"/>
      <c r="CA19"/>
      <c r="CB19"/>
      <c r="CC19"/>
      <c r="CD19"/>
      <c r="CE19"/>
    </row>
    <row r="20" spans="1:70" ht="13.5">
      <c r="A20" s="56" t="s">
        <v>161</v>
      </c>
      <c r="B20" s="14">
        <f>B19+B23</f>
        <v>3769.6176915688366</v>
      </c>
      <c r="C20" s="31">
        <f>D20/B20</f>
        <v>223.3716814213615</v>
      </c>
      <c r="D20" s="14">
        <f>D19+D23</f>
        <v>842025.8420814424</v>
      </c>
      <c r="E20" s="2"/>
      <c r="F20" s="14">
        <f>F19+F23</f>
        <v>2682.9689809071506</v>
      </c>
      <c r="G20" s="22">
        <f>H20/F20</f>
        <v>194.26171165292163</v>
      </c>
      <c r="H20" s="14">
        <f>H19+H23</f>
        <v>521198.1465427179</v>
      </c>
      <c r="I20" s="13"/>
      <c r="J20" s="8"/>
      <c r="K20" s="13"/>
      <c r="L20" s="13"/>
      <c r="M20" s="8"/>
      <c r="N20" s="13"/>
      <c r="O20" s="13"/>
      <c r="P20" s="14">
        <f>P19+P23</f>
        <v>1086.637600661686</v>
      </c>
      <c r="Q20" s="10">
        <f>R20/P20</f>
        <v>295.2481078727287</v>
      </c>
      <c r="R20" s="14">
        <f>R19+R23</f>
        <v>320827.6955387246</v>
      </c>
      <c r="S20" s="13"/>
      <c r="T20" s="14">
        <f>T19+T23</f>
        <v>358.7</v>
      </c>
      <c r="U20" s="10">
        <f>V20/T20</f>
        <v>423.2648625982242</v>
      </c>
      <c r="V20" s="14">
        <f>V19+V23</f>
        <v>151825.10621398303</v>
      </c>
      <c r="W20" s="14">
        <f>W19+W23</f>
        <v>73.0224</v>
      </c>
      <c r="X20" s="9">
        <f>Y20/W20</f>
        <v>500.8</v>
      </c>
      <c r="Y20" s="14">
        <f>Y19+Y23</f>
        <v>36569.617920000004</v>
      </c>
      <c r="Z20" s="14">
        <f>Z19+Z23</f>
        <v>43.185700000000004</v>
      </c>
      <c r="AA20" s="22">
        <f>AB20/Z20</f>
        <v>394.95405421556205</v>
      </c>
      <c r="AB20" s="14">
        <f>AB19+AB23</f>
        <v>17056.367299137</v>
      </c>
      <c r="AC20" s="14">
        <f>AC19+AC23</f>
        <v>3.2620999999999998</v>
      </c>
      <c r="AD20" s="22">
        <f>AE20/AC20</f>
        <v>255.34000000000003</v>
      </c>
      <c r="AE20" s="14">
        <f>AE19+AE23</f>
        <v>832.944614</v>
      </c>
      <c r="AF20" s="14">
        <f>AF19+AF23</f>
        <v>60.23359999999998</v>
      </c>
      <c r="AG20" s="22">
        <f>AH20/AF20</f>
        <v>201.97</v>
      </c>
      <c r="AH20" s="14">
        <f>AH19+AH23</f>
        <v>12165.380191999997</v>
      </c>
      <c r="AI20" s="14">
        <f>AI19+AI23</f>
        <v>178.9962</v>
      </c>
      <c r="AJ20" s="22">
        <f>AK20/AI20</f>
        <v>475.9922064761487</v>
      </c>
      <c r="AK20" s="14">
        <f>AK19+AK23</f>
        <v>85200.796188846</v>
      </c>
      <c r="AL20" s="14">
        <f>AL19+AL23</f>
        <v>225.53215861237382</v>
      </c>
      <c r="AM20" s="22">
        <f>AN20/AL20</f>
        <v>273.9811375778099</v>
      </c>
      <c r="AN20" s="14">
        <f>AN19+AN23</f>
        <v>61791.55737699723</v>
      </c>
      <c r="AO20" s="14">
        <f>AO19+AO23</f>
        <v>52.20527268898991</v>
      </c>
      <c r="AP20" s="6">
        <f>AQ20/AO20</f>
        <v>385.62</v>
      </c>
      <c r="AQ20" s="14">
        <f>AQ19+AQ23</f>
        <v>20131.397254328287</v>
      </c>
      <c r="AR20" s="14">
        <f>AR19+AR23</f>
        <v>13.264572688989904</v>
      </c>
      <c r="AS20" s="6">
        <f>AT20/AR20</f>
        <v>276.78000000000003</v>
      </c>
      <c r="AT20" s="14">
        <f>AT19+AT23</f>
        <v>3671.368428858626</v>
      </c>
      <c r="AU20" s="14">
        <f>AU19+AU23</f>
        <v>2.1501</v>
      </c>
      <c r="AV20" s="22">
        <f>AW20/AU20</f>
        <v>271.7355546253662</v>
      </c>
      <c r="AW20" s="14">
        <f>AW19+AW23</f>
        <v>584.258616</v>
      </c>
      <c r="AX20" s="14">
        <f>AX19+AX23</f>
        <v>90.30351323439403</v>
      </c>
      <c r="AY20" s="10">
        <f>AZ20/AX20</f>
        <v>188.50959999999998</v>
      </c>
      <c r="AZ20" s="14">
        <f>AZ19+AZ23</f>
        <v>17023.079158410324</v>
      </c>
      <c r="BA20" s="14">
        <f>BA19+BA23</f>
        <v>67.6087</v>
      </c>
      <c r="BB20" s="10">
        <f>BC20/BA20</f>
        <v>301.462</v>
      </c>
      <c r="BC20" s="14">
        <f>BC19+BC23</f>
        <v>20381.4539194</v>
      </c>
      <c r="BD20" s="14">
        <f>BD19+BD23</f>
        <v>502.4054420493124</v>
      </c>
      <c r="BE20" s="22">
        <f t="shared" si="29"/>
        <v>213.395443151313</v>
      </c>
      <c r="BF20" s="14">
        <f>BF19+BF23</f>
        <v>107211.03194774433</v>
      </c>
      <c r="BG20" s="14">
        <f>BG19+BG23</f>
        <v>102.732435363945</v>
      </c>
      <c r="BH20" s="33">
        <f>BI20/BG20</f>
        <v>300.48</v>
      </c>
      <c r="BI20" s="14">
        <f>BI19+BI23</f>
        <v>30869.042178158197</v>
      </c>
      <c r="BJ20" s="14">
        <f>BJ19+BJ23</f>
        <v>28.532435363944995</v>
      </c>
      <c r="BK20" s="33">
        <f>BL20/BJ20</f>
        <v>215.67</v>
      </c>
      <c r="BL20" s="14">
        <f>BL19+BL23</f>
        <v>6153.590334942017</v>
      </c>
      <c r="BM20" s="14">
        <f>BM19+BM23</f>
        <v>336.1605713214224</v>
      </c>
      <c r="BN20" s="34">
        <f>BO20/BM20</f>
        <v>183.84439999999998</v>
      </c>
      <c r="BO20" s="14">
        <f>BO19+BO23</f>
        <v>61801.238538244106</v>
      </c>
      <c r="BP20" s="14">
        <f>BP19+BP23</f>
        <v>34.980000000000004</v>
      </c>
      <c r="BQ20" s="34">
        <f>BR20/BP20</f>
        <v>239.77018000000004</v>
      </c>
      <c r="BR20" s="14">
        <f>BR19+BR23</f>
        <v>8387.160896400002</v>
      </c>
    </row>
    <row r="21" spans="1:70" ht="13.5">
      <c r="A21" s="56" t="s">
        <v>162</v>
      </c>
      <c r="B21" s="14">
        <f>B19+B23+B24+B26</f>
        <v>4437.651691568837</v>
      </c>
      <c r="C21" s="31">
        <f>D21/B21</f>
        <v>226.90204028864713</v>
      </c>
      <c r="D21" s="14">
        <f>D19+D23+D24+D26</f>
        <v>1006912.2229073354</v>
      </c>
      <c r="E21" s="2"/>
      <c r="F21" s="14">
        <f>F19+F23+F24+F26</f>
        <v>3056.0289809071505</v>
      </c>
      <c r="G21" s="22">
        <f>H21/F21</f>
        <v>193.24232467436156</v>
      </c>
      <c r="H21" s="14">
        <f>H19+H23+H24+H26</f>
        <v>590554.1445427178</v>
      </c>
      <c r="P21" s="14">
        <f>P19+P23+P24+P26</f>
        <v>1381.607880661686</v>
      </c>
      <c r="Q21" s="10">
        <f>R21/P21</f>
        <v>301.35763134559824</v>
      </c>
      <c r="R21" s="14">
        <f>R19+R23+R24+R26</f>
        <v>416358.07836461766</v>
      </c>
      <c r="T21" s="14">
        <f>T19+T23+T24+T26</f>
        <v>509.35</v>
      </c>
      <c r="U21" s="10">
        <f>V21/T21</f>
        <v>422.1545867793276</v>
      </c>
      <c r="V21" s="14">
        <f>V19+V23+V24+V26</f>
        <v>215024.43877605052</v>
      </c>
      <c r="W21" s="14">
        <f>W19+W23+W24+W26</f>
        <v>94.68090000000001</v>
      </c>
      <c r="X21" s="9">
        <f>Y21/W21</f>
        <v>500.79999999999995</v>
      </c>
      <c r="Y21" s="14">
        <f>Y19+Y23+Y24+Y26</f>
        <v>47416.19472</v>
      </c>
      <c r="Z21" s="14">
        <f>Z19+Z23+Z24+Z26</f>
        <v>56.108200000000004</v>
      </c>
      <c r="AA21" s="22">
        <f>AB21/Z21</f>
        <v>390.88073790648247</v>
      </c>
      <c r="AB21" s="14">
        <f>AB19+AB23+AB24+AB26</f>
        <v>21931.6146186045</v>
      </c>
      <c r="AC21" s="14">
        <f>AC19+AC23+AC24+AC26</f>
        <v>3.8861</v>
      </c>
      <c r="AD21" s="22">
        <f>AE21/AC21</f>
        <v>255.34000000000003</v>
      </c>
      <c r="AE21" s="14">
        <f>AE19+AE23+AE24+AE26</f>
        <v>992.276774</v>
      </c>
      <c r="AF21" s="14">
        <f>AF19+AF23+AF24+AF26</f>
        <v>97.0546</v>
      </c>
      <c r="AG21" s="22">
        <f>AH21/AF21</f>
        <v>201.96810307806123</v>
      </c>
      <c r="AH21" s="14">
        <f>AH19+AH23+AH24+AH26</f>
        <v>19601.933457</v>
      </c>
      <c r="AI21" s="14">
        <f>AI19+AI23+AI24+AI26</f>
        <v>257.62019999999995</v>
      </c>
      <c r="AJ21" s="22">
        <f>AK21/AI21</f>
        <v>485.53032412227776</v>
      </c>
      <c r="AK21" s="14">
        <f>AK19+AK23+AK24+AK26</f>
        <v>125082.419206446</v>
      </c>
      <c r="AL21" s="14">
        <f>AL19+AL23+AL24+AL26</f>
        <v>233.16283299480276</v>
      </c>
      <c r="AM21" s="22">
        <f>AN21/AL21</f>
        <v>275.2134106930039</v>
      </c>
      <c r="AN21" s="14">
        <f>AN19+AN23+AN24+AN26</f>
        <v>64169.53851534292</v>
      </c>
      <c r="AO21" s="14">
        <f>AO19+AO23+AO24+AO26</f>
        <v>54.67472663958422</v>
      </c>
      <c r="AP21" s="6">
        <f>AQ21/AO21</f>
        <v>385.61999999999995</v>
      </c>
      <c r="AQ21" s="14">
        <f>AQ19+AQ23+AQ24+AQ26</f>
        <v>21083.668086756465</v>
      </c>
      <c r="AR21" s="14">
        <f>AR19+AR23+AR24+AR26</f>
        <v>13.615026639584219</v>
      </c>
      <c r="AS21" s="6">
        <f>AT21/AR21</f>
        <v>276.78000000000003</v>
      </c>
      <c r="AT21" s="14">
        <f>AT19+AT23+AT24+AT26</f>
        <v>3768.3670733041204</v>
      </c>
      <c r="AU21" s="14">
        <f>AU19+AU23+AU24+AU26</f>
        <v>2.2671</v>
      </c>
      <c r="AV21" s="22">
        <f>AW21/AU21</f>
        <v>270.2123223501389</v>
      </c>
      <c r="AW21" s="14">
        <f>AW19+AW23+AW24+AW26</f>
        <v>612.598356</v>
      </c>
      <c r="AX21" s="14">
        <f>AX19+AX23+AX24+AX26</f>
        <v>91.31827971563433</v>
      </c>
      <c r="AY21" s="10">
        <f>AZ21/AX21</f>
        <v>188.5096</v>
      </c>
      <c r="AZ21" s="14">
        <f>AZ19+AZ23+AZ24+AZ26</f>
        <v>17214.372381882342</v>
      </c>
      <c r="BA21" s="14">
        <f>BA19+BA23+BA24+BA26</f>
        <v>71.2877</v>
      </c>
      <c r="BB21" s="10">
        <f>BC21/BA21</f>
        <v>301.462</v>
      </c>
      <c r="BC21" s="14">
        <f>BC19+BC23+BC24+BC26</f>
        <v>21490.5326174</v>
      </c>
      <c r="BD21" s="14">
        <f>BD19+BD23+BD24+BD26</f>
        <v>639.0950476668834</v>
      </c>
      <c r="BE21" s="22">
        <f t="shared" si="29"/>
        <v>214.62238140314693</v>
      </c>
      <c r="BF21" s="14">
        <f>BF19+BF23+BF24+BF26</f>
        <v>137164.1010732242</v>
      </c>
      <c r="BG21" s="14">
        <f>BG19+BG23+BG24+BG26</f>
        <v>136.2056038133507</v>
      </c>
      <c r="BH21" s="33">
        <f>BI21/BG21</f>
        <v>300.48</v>
      </c>
      <c r="BI21" s="14">
        <f>BI19+BI23+BI24+BI26</f>
        <v>40927.05983383562</v>
      </c>
      <c r="BJ21" s="14">
        <f>BJ19+BJ23+BJ24+BJ26</f>
        <v>35.26560381335068</v>
      </c>
      <c r="BK21" s="33">
        <f>BL21/BJ21</f>
        <v>215.66999999999996</v>
      </c>
      <c r="BL21" s="14">
        <f>BL19+BL23+BL24+BL26</f>
        <v>7605.73277442534</v>
      </c>
      <c r="BM21" s="14">
        <f>BM19+BM23+BM24+BM26</f>
        <v>420.0378400401821</v>
      </c>
      <c r="BN21" s="34">
        <f>BO21/BM21</f>
        <v>183.84439999999998</v>
      </c>
      <c r="BO21" s="14">
        <f>BO19+BO23+BO24+BO26</f>
        <v>77221.60467948325</v>
      </c>
      <c r="BP21" s="14">
        <f>BP19+BP23+BP24+BP26</f>
        <v>47.586000000000006</v>
      </c>
      <c r="BQ21" s="34">
        <f>BR21/BP21</f>
        <v>239.77018000000004</v>
      </c>
      <c r="BR21" s="14">
        <f>BR19+BR23+BR24+BR26</f>
        <v>11409.703785480004</v>
      </c>
    </row>
    <row r="22" spans="1:70" ht="18">
      <c r="A22" s="3"/>
      <c r="B22" s="13"/>
      <c r="C22" s="3"/>
      <c r="D22" s="13"/>
      <c r="E22" s="2"/>
      <c r="F22" s="13"/>
      <c r="G22" s="23"/>
      <c r="H22" s="19"/>
      <c r="I22" s="19"/>
      <c r="J22" s="23"/>
      <c r="K22" s="19"/>
      <c r="L22" s="19"/>
      <c r="M22" s="23"/>
      <c r="N22" s="19"/>
      <c r="O22" s="13"/>
      <c r="P22" s="13"/>
      <c r="Q22" s="8"/>
      <c r="R22" s="13"/>
      <c r="S22" s="13"/>
      <c r="T22" s="13"/>
      <c r="U22" s="8"/>
      <c r="V22" s="13"/>
      <c r="W22" s="13"/>
      <c r="X22" s="3"/>
      <c r="Y22" s="3"/>
      <c r="Z22" s="13"/>
      <c r="AA22" s="3"/>
      <c r="AB22" s="13"/>
      <c r="AC22" s="13"/>
      <c r="AD22" s="3"/>
      <c r="AE22" s="3"/>
      <c r="AF22" s="13"/>
      <c r="AG22" s="3"/>
      <c r="AH22" s="3"/>
      <c r="AI22" s="13"/>
      <c r="AJ22" s="23"/>
      <c r="AK22" s="19"/>
      <c r="AL22" s="13"/>
      <c r="AM22" s="27"/>
      <c r="AN22" s="13"/>
      <c r="AO22" s="13"/>
      <c r="AQ22" s="13"/>
      <c r="AR22" s="13"/>
      <c r="AT22" s="13"/>
      <c r="AU22" s="13"/>
      <c r="AV22" s="3"/>
      <c r="AW22" s="13"/>
      <c r="AX22" s="13"/>
      <c r="AY22" s="8"/>
      <c r="AZ22" s="13"/>
      <c r="BA22" s="13"/>
      <c r="BB22" s="8"/>
      <c r="BC22" s="13"/>
      <c r="BD22" s="13"/>
      <c r="BE22" s="3"/>
      <c r="BF22" s="13"/>
      <c r="BG22" s="13"/>
      <c r="BI22" s="13"/>
      <c r="BJ22" s="13"/>
      <c r="BL22" s="13"/>
      <c r="BM22" s="13"/>
      <c r="BN22" s="8"/>
      <c r="BO22" s="13"/>
      <c r="BP22" s="13"/>
      <c r="BQ22" s="8"/>
      <c r="BR22" s="13"/>
    </row>
    <row r="23" spans="1:70" ht="13.5">
      <c r="A23" t="s">
        <v>63</v>
      </c>
      <c r="B23" s="13">
        <v>153.209</v>
      </c>
      <c r="C23" s="30">
        <f>D23/B23</f>
        <v>205.14605373869549</v>
      </c>
      <c r="D23" s="13">
        <f aca="true" t="shared" si="30" ref="D23:D29">H23+V23+AN23+BF23</f>
        <v>31430.2217472518</v>
      </c>
      <c r="E23" s="2"/>
      <c r="F23" s="13">
        <v>118.70969</v>
      </c>
      <c r="G23" s="8">
        <v>192</v>
      </c>
      <c r="H23" s="13">
        <f aca="true" t="shared" si="31" ref="H23:H29">F23*G23</f>
        <v>22792.260479999997</v>
      </c>
      <c r="I23" s="13"/>
      <c r="J23" s="8">
        <v>192</v>
      </c>
      <c r="K23" s="13"/>
      <c r="L23" s="13"/>
      <c r="M23" s="8">
        <v>192</v>
      </c>
      <c r="N23" s="13"/>
      <c r="O23" s="13"/>
      <c r="P23" s="13">
        <f aca="true" t="shared" si="32" ref="P23:P30">T23+AL23+BD23</f>
        <v>34.499309999999994</v>
      </c>
      <c r="Q23" s="8">
        <f>R23/P23</f>
        <v>250.3806965197797</v>
      </c>
      <c r="R23" s="13">
        <f>V23+AN23+BF23</f>
        <v>8637.9612672518</v>
      </c>
      <c r="S23" s="13"/>
      <c r="T23" s="13">
        <v>0</v>
      </c>
      <c r="U23" s="8">
        <v>0</v>
      </c>
      <c r="V23" s="13">
        <f>Y23+AB23+AE23+AH23+AK23</f>
        <v>0</v>
      </c>
      <c r="W23" s="13">
        <v>0</v>
      </c>
      <c r="X23">
        <v>0</v>
      </c>
      <c r="Y23">
        <v>0</v>
      </c>
      <c r="Z23" s="13">
        <v>0</v>
      </c>
      <c r="AA23">
        <v>0</v>
      </c>
      <c r="AB23" s="13">
        <f>Z23*AA23</f>
        <v>0</v>
      </c>
      <c r="AC23" s="13">
        <v>0</v>
      </c>
      <c r="AD23">
        <v>0</v>
      </c>
      <c r="AE23">
        <v>0</v>
      </c>
      <c r="AF23" s="13">
        <f>T23-W23-Z23-AC23-AI23</f>
        <v>0</v>
      </c>
      <c r="AG23">
        <v>0</v>
      </c>
      <c r="AH23">
        <v>0</v>
      </c>
      <c r="AI23" s="13">
        <v>0</v>
      </c>
      <c r="AJ23" s="13">
        <v>0</v>
      </c>
      <c r="AK23" s="13">
        <v>0</v>
      </c>
      <c r="AL23" s="13">
        <v>19.139641199999996</v>
      </c>
      <c r="AM23" s="27">
        <f>AN23/AL23</f>
        <v>278.4888193277644</v>
      </c>
      <c r="AN23" s="13">
        <f>AQ23+AT23+AW23+AZ23+BC23</f>
        <v>5330.1760801450355</v>
      </c>
      <c r="AO23" s="13">
        <v>4.677171295999999</v>
      </c>
      <c r="AP23">
        <v>385.62</v>
      </c>
      <c r="AQ23" s="13">
        <f>AP23*AO23</f>
        <v>1803.6107951635197</v>
      </c>
      <c r="AR23" s="13">
        <v>1.0911712959999997</v>
      </c>
      <c r="AS23">
        <v>276.78</v>
      </c>
      <c r="AT23" s="13">
        <f>AR23*AS23</f>
        <v>302.0143913068799</v>
      </c>
      <c r="AU23" s="13">
        <v>0.19799999999999998</v>
      </c>
      <c r="AV23" s="8">
        <v>192</v>
      </c>
      <c r="AW23" s="13">
        <f>AU23*AV23</f>
        <v>38.016</v>
      </c>
      <c r="AX23" s="13">
        <f>AL23-AO23-AR23-AU23-BA23</f>
        <v>6.947298607999997</v>
      </c>
      <c r="AY23" s="8">
        <f t="shared" si="16"/>
        <v>188.5096</v>
      </c>
      <c r="AZ23" s="13">
        <f>AX23*AY23</f>
        <v>1309.6324816746362</v>
      </c>
      <c r="BA23" s="13">
        <v>6.225999999999999</v>
      </c>
      <c r="BB23" s="8">
        <f t="shared" si="18"/>
        <v>301.462</v>
      </c>
      <c r="BC23" s="13">
        <f>BB23*BA23</f>
        <v>1876.9024119999997</v>
      </c>
      <c r="BD23" s="13">
        <v>15.359668799999998</v>
      </c>
      <c r="BE23" s="8">
        <f aca="true" t="shared" si="33" ref="BE23:BE33">BF23/BD23</f>
        <v>215.3552417163295</v>
      </c>
      <c r="BF23" s="13">
        <f>BI23+BL23+BO23+BR23</f>
        <v>3307.785187106764</v>
      </c>
      <c r="BG23" s="13">
        <v>3.352773504</v>
      </c>
      <c r="BH23">
        <v>300.48</v>
      </c>
      <c r="BI23" s="13">
        <f>BG23*BH23</f>
        <v>1007.4413824819201</v>
      </c>
      <c r="BJ23" s="13">
        <v>0.8327735039999999</v>
      </c>
      <c r="BK23">
        <v>215.67</v>
      </c>
      <c r="BL23" s="13">
        <f>BJ23*BK23</f>
        <v>179.60426160767997</v>
      </c>
      <c r="BM23" s="13">
        <v>9.986121791999997</v>
      </c>
      <c r="BN23" s="8">
        <f t="shared" si="23"/>
        <v>183.8444</v>
      </c>
      <c r="BO23" s="13">
        <f>BM23*BN23</f>
        <v>1835.8925691771642</v>
      </c>
      <c r="BP23" s="13">
        <v>1.1880000000000002</v>
      </c>
      <c r="BQ23" s="8">
        <f t="shared" si="25"/>
        <v>239.77018000000004</v>
      </c>
      <c r="BR23" s="13">
        <f>BP23*BQ23</f>
        <v>284.8469738400001</v>
      </c>
    </row>
    <row r="24" spans="1:70" ht="13.5">
      <c r="A24" t="s">
        <v>64</v>
      </c>
      <c r="B24" s="13">
        <v>18.329</v>
      </c>
      <c r="C24" s="30">
        <f>D24/B24</f>
        <v>248.22809568284924</v>
      </c>
      <c r="D24" s="13">
        <f t="shared" si="30"/>
        <v>4549.772765770944</v>
      </c>
      <c r="E24" s="13"/>
      <c r="F24" s="13">
        <v>3.66</v>
      </c>
      <c r="G24" s="8">
        <v>161.8</v>
      </c>
      <c r="H24" s="13">
        <f t="shared" si="31"/>
        <v>592.1880000000001</v>
      </c>
      <c r="I24" s="13"/>
      <c r="J24" s="8">
        <v>161.8</v>
      </c>
      <c r="K24" s="13"/>
      <c r="L24" s="13"/>
      <c r="M24" s="8">
        <v>161.8</v>
      </c>
      <c r="N24" s="13"/>
      <c r="O24" s="13"/>
      <c r="P24" s="13">
        <f t="shared" si="32"/>
        <v>14.674150000000001</v>
      </c>
      <c r="Q24" s="8">
        <f>R24/P24</f>
        <v>269.69771780791007</v>
      </c>
      <c r="R24" s="13">
        <f>V24+AN24+BF24</f>
        <v>3957.5847657709437</v>
      </c>
      <c r="S24" s="13"/>
      <c r="T24" s="13">
        <v>0</v>
      </c>
      <c r="U24" s="8">
        <v>0</v>
      </c>
      <c r="V24" s="13">
        <f>Y24+AB24+AE24+AH24+AK24</f>
        <v>0</v>
      </c>
      <c r="W24" s="13">
        <v>0</v>
      </c>
      <c r="X24">
        <v>0</v>
      </c>
      <c r="Y24">
        <v>0</v>
      </c>
      <c r="Z24" s="13">
        <v>0</v>
      </c>
      <c r="AA24">
        <v>0</v>
      </c>
      <c r="AB24" s="13">
        <f>Z24*AA24</f>
        <v>0</v>
      </c>
      <c r="AC24" s="13">
        <v>0</v>
      </c>
      <c r="AD24">
        <v>0</v>
      </c>
      <c r="AE24">
        <v>0</v>
      </c>
      <c r="AF24" s="13">
        <f>T24-W24-Z24-AC24-AI24</f>
        <v>0</v>
      </c>
      <c r="AG24">
        <v>0</v>
      </c>
      <c r="AH24">
        <v>0</v>
      </c>
      <c r="AI24" s="13">
        <v>0</v>
      </c>
      <c r="AJ24" s="13">
        <v>0</v>
      </c>
      <c r="AK24" s="13">
        <v>0</v>
      </c>
      <c r="AL24" s="13">
        <v>7.630558</v>
      </c>
      <c r="AM24" s="27">
        <f>AN24/AL24</f>
        <v>311.63599596198753</v>
      </c>
      <c r="AN24" s="13">
        <f>AQ24+AT24+AW24+AZ24+BC24</f>
        <v>2377.9565420757117</v>
      </c>
      <c r="AO24" s="13">
        <v>2.46944464</v>
      </c>
      <c r="AP24">
        <v>385.62</v>
      </c>
      <c r="AQ24" s="13">
        <f>AP24*AO24</f>
        <v>952.2672420767999</v>
      </c>
      <c r="AR24" s="13">
        <v>0.35044464000000003</v>
      </c>
      <c r="AS24">
        <v>276.78</v>
      </c>
      <c r="AT24" s="13">
        <f>AR24*AS24</f>
        <v>96.99606745919999</v>
      </c>
      <c r="AU24" s="13">
        <v>0.11699999999999999</v>
      </c>
      <c r="AV24">
        <v>242.22</v>
      </c>
      <c r="AW24" s="13">
        <f>AU24*AV24</f>
        <v>28.33974</v>
      </c>
      <c r="AX24" s="13">
        <f>AL24-AO24-AR24-AU24-BA24</f>
        <v>1.01466872</v>
      </c>
      <c r="AY24" s="8">
        <f t="shared" si="16"/>
        <v>188.5096</v>
      </c>
      <c r="AZ24" s="13">
        <f>AX24*AY24</f>
        <v>191.274794539712</v>
      </c>
      <c r="BA24" s="13">
        <v>3.679</v>
      </c>
      <c r="BB24" s="8">
        <f t="shared" si="18"/>
        <v>301.462</v>
      </c>
      <c r="BC24" s="13">
        <f>BB24*BA24</f>
        <v>1109.0786979999998</v>
      </c>
      <c r="BD24" s="13">
        <v>7.043592</v>
      </c>
      <c r="BE24" s="8">
        <f t="shared" si="33"/>
        <v>224.2645831409928</v>
      </c>
      <c r="BF24" s="13">
        <f>BI24+BL24+BO24+BR24</f>
        <v>1579.628223695232</v>
      </c>
      <c r="BG24" s="13">
        <v>1.9794873600000003</v>
      </c>
      <c r="BH24">
        <v>300.48</v>
      </c>
      <c r="BI24" s="13">
        <f>BG24*BH24</f>
        <v>594.7963619328001</v>
      </c>
      <c r="BJ24" s="13">
        <v>0.29948736000000004</v>
      </c>
      <c r="BK24">
        <v>215.67</v>
      </c>
      <c r="BL24" s="13">
        <f>BJ24*BK24</f>
        <v>64.5904389312</v>
      </c>
      <c r="BM24" s="13">
        <v>3.9726172800000006</v>
      </c>
      <c r="BN24" s="8">
        <f t="shared" si="23"/>
        <v>183.8444</v>
      </c>
      <c r="BO24" s="13">
        <f>BM24*BN24</f>
        <v>730.3434402712321</v>
      </c>
      <c r="BP24" s="13">
        <v>0.792</v>
      </c>
      <c r="BQ24" s="8">
        <f t="shared" si="25"/>
        <v>239.77018000000004</v>
      </c>
      <c r="BR24" s="13">
        <f>BP24*BQ24</f>
        <v>189.89798256000003</v>
      </c>
    </row>
    <row r="25" spans="1:70" ht="13.5">
      <c r="A25" t="s">
        <v>70</v>
      </c>
      <c r="B25" s="13">
        <v>315.00603447293923</v>
      </c>
      <c r="C25" s="30">
        <f t="shared" si="27"/>
        <v>211.38561503328754</v>
      </c>
      <c r="D25" s="13">
        <f t="shared" si="30"/>
        <v>66587.74433625923</v>
      </c>
      <c r="E25" s="13"/>
      <c r="F25" s="13">
        <v>225.09894612187804</v>
      </c>
      <c r="G25" s="8">
        <v>187.33</v>
      </c>
      <c r="H25" s="13">
        <f t="shared" si="31"/>
        <v>42167.78557701142</v>
      </c>
      <c r="I25" s="13"/>
      <c r="J25" s="8">
        <v>187.33</v>
      </c>
      <c r="K25" s="13"/>
      <c r="L25" s="13"/>
      <c r="M25" s="8">
        <v>187.33</v>
      </c>
      <c r="N25" s="13"/>
      <c r="O25" s="13"/>
      <c r="P25" s="13">
        <f t="shared" si="32"/>
        <v>89.90708835106113</v>
      </c>
      <c r="Q25" s="8">
        <f t="shared" si="6"/>
        <v>271.6132755172201</v>
      </c>
      <c r="R25" s="13">
        <f t="shared" si="7"/>
        <v>24419.958759247813</v>
      </c>
      <c r="S25" s="13"/>
      <c r="T25" s="13">
        <v>0</v>
      </c>
      <c r="U25" s="8">
        <v>0</v>
      </c>
      <c r="V25" s="13">
        <f t="shared" si="8"/>
        <v>0</v>
      </c>
      <c r="W25" s="13">
        <v>0</v>
      </c>
      <c r="X25">
        <v>0</v>
      </c>
      <c r="Y25">
        <v>0</v>
      </c>
      <c r="Z25" s="13">
        <v>0</v>
      </c>
      <c r="AA25">
        <v>0</v>
      </c>
      <c r="AB25" s="13">
        <f t="shared" si="9"/>
        <v>0</v>
      </c>
      <c r="AC25" s="13">
        <v>0</v>
      </c>
      <c r="AD25">
        <v>0</v>
      </c>
      <c r="AE25">
        <v>0</v>
      </c>
      <c r="AF25" s="13">
        <f t="shared" si="10"/>
        <v>0</v>
      </c>
      <c r="AG25">
        <v>0</v>
      </c>
      <c r="AH25">
        <v>0</v>
      </c>
      <c r="AI25" s="13">
        <v>0</v>
      </c>
      <c r="AJ25" s="13">
        <v>0</v>
      </c>
      <c r="AK25" s="13">
        <v>0</v>
      </c>
      <c r="AL25" s="13">
        <v>48.45641774764984</v>
      </c>
      <c r="AM25" s="27">
        <f t="shared" si="28"/>
        <v>311.98447629225063</v>
      </c>
      <c r="AN25" s="13">
        <f t="shared" si="11"/>
        <v>15117.650113999052</v>
      </c>
      <c r="AO25" s="13">
        <v>15.745513419811987</v>
      </c>
      <c r="AP25">
        <v>385.62</v>
      </c>
      <c r="AQ25" s="13">
        <f t="shared" si="12"/>
        <v>6071.784884947899</v>
      </c>
      <c r="AR25" s="13">
        <v>2.216513419811986</v>
      </c>
      <c r="AS25">
        <v>276.78</v>
      </c>
      <c r="AT25" s="13">
        <f t="shared" si="13"/>
        <v>613.4865843355615</v>
      </c>
      <c r="AU25" s="13">
        <v>0.747</v>
      </c>
      <c r="AV25">
        <v>229.68</v>
      </c>
      <c r="AW25" s="13">
        <f t="shared" si="14"/>
        <v>171.57096</v>
      </c>
      <c r="AX25" s="13">
        <f t="shared" si="15"/>
        <v>6.25839090802587</v>
      </c>
      <c r="AY25" s="8">
        <f t="shared" si="16"/>
        <v>188.5096</v>
      </c>
      <c r="AZ25" s="13">
        <f t="shared" si="17"/>
        <v>1179.7667667155936</v>
      </c>
      <c r="BA25" s="13">
        <v>23.488999999999997</v>
      </c>
      <c r="BB25" s="8">
        <f t="shared" si="18"/>
        <v>301.462</v>
      </c>
      <c r="BC25" s="13">
        <f t="shared" si="19"/>
        <v>7081.040917999999</v>
      </c>
      <c r="BD25" s="13">
        <v>41.450670603411304</v>
      </c>
      <c r="BE25" s="8">
        <f t="shared" si="33"/>
        <v>224.4187732027477</v>
      </c>
      <c r="BF25" s="13">
        <f t="shared" si="20"/>
        <v>9302.308645248762</v>
      </c>
      <c r="BG25" s="13">
        <v>11.694053648272904</v>
      </c>
      <c r="BH25">
        <v>300.48</v>
      </c>
      <c r="BI25" s="13">
        <f t="shared" si="21"/>
        <v>3513.8292402330426</v>
      </c>
      <c r="BJ25" s="13">
        <v>1.7540536482729046</v>
      </c>
      <c r="BK25">
        <v>215.67</v>
      </c>
      <c r="BL25" s="13">
        <f t="shared" si="22"/>
        <v>378.2967503230173</v>
      </c>
      <c r="BM25" s="13">
        <v>23.316563306865493</v>
      </c>
      <c r="BN25" s="8">
        <f t="shared" si="23"/>
        <v>183.8444</v>
      </c>
      <c r="BO25" s="13">
        <f t="shared" si="24"/>
        <v>4286.619591212702</v>
      </c>
      <c r="BP25" s="13">
        <v>4.686</v>
      </c>
      <c r="BQ25" s="8">
        <f t="shared" si="25"/>
        <v>239.77018000000004</v>
      </c>
      <c r="BR25" s="13">
        <f t="shared" si="26"/>
        <v>1123.5630634800002</v>
      </c>
    </row>
    <row r="26" spans="1:70" ht="13.5">
      <c r="A26" t="s">
        <v>65</v>
      </c>
      <c r="B26" s="13">
        <v>649.705</v>
      </c>
      <c r="C26" s="30">
        <f>D26/B26</f>
        <v>246.78370654392702</v>
      </c>
      <c r="D26" s="13">
        <f t="shared" si="30"/>
        <v>160336.60806012212</v>
      </c>
      <c r="E26" s="13"/>
      <c r="F26" s="13">
        <v>369.4</v>
      </c>
      <c r="G26" s="8">
        <v>186.15</v>
      </c>
      <c r="H26" s="13">
        <f t="shared" si="31"/>
        <v>68763.81</v>
      </c>
      <c r="I26" s="13"/>
      <c r="J26" s="8">
        <v>186.15</v>
      </c>
      <c r="K26" s="13"/>
      <c r="L26" s="13"/>
      <c r="M26" s="8">
        <v>186.15</v>
      </c>
      <c r="N26" s="13"/>
      <c r="O26" s="13"/>
      <c r="P26" s="13">
        <f t="shared" si="32"/>
        <v>280.29612999999995</v>
      </c>
      <c r="Q26" s="8">
        <f>R26/P26</f>
        <v>326.7001869063342</v>
      </c>
      <c r="R26" s="13">
        <f>V26+AN26+BF26</f>
        <v>91572.79806012212</v>
      </c>
      <c r="S26" s="13"/>
      <c r="T26" s="13">
        <v>150.65</v>
      </c>
      <c r="U26" s="8">
        <f>V26/T26</f>
        <v>419.5110027352638</v>
      </c>
      <c r="V26" s="13">
        <f>Y26+AB26+AE26+AH26+AK26</f>
        <v>63199.332562067495</v>
      </c>
      <c r="W26" s="13">
        <v>21.658499999999997</v>
      </c>
      <c r="X26">
        <v>500.8</v>
      </c>
      <c r="Y26" s="13">
        <f>W26*X26</f>
        <v>10846.576799999999</v>
      </c>
      <c r="Z26" s="13">
        <v>12.9225</v>
      </c>
      <c r="AA26" s="8">
        <f>359.45*0.8919+524.28*0.1081</f>
        <v>377.268123</v>
      </c>
      <c r="AB26" s="13">
        <f>Z26*AA26</f>
        <v>4875.247319467499</v>
      </c>
      <c r="AC26" s="13">
        <v>0.624</v>
      </c>
      <c r="AD26">
        <v>255.34</v>
      </c>
      <c r="AE26" s="13">
        <f>AC26*AD26</f>
        <v>159.33216000000002</v>
      </c>
      <c r="AF26" s="13">
        <f>T26-W26-Z26-AC26-AI26</f>
        <v>36.82100000000001</v>
      </c>
      <c r="AG26" s="8">
        <f>(255.34+148.59)/2</f>
        <v>201.965</v>
      </c>
      <c r="AH26" s="13">
        <f>AF26*AG26</f>
        <v>7436.553265000002</v>
      </c>
      <c r="AI26" s="13">
        <v>78.624</v>
      </c>
      <c r="AJ26" s="8">
        <f>528.25*0.94+178.165*0.06</f>
        <v>507.2449</v>
      </c>
      <c r="AK26" s="13">
        <f>AI26*AJ26</f>
        <v>39881.623017599995</v>
      </c>
      <c r="AL26" s="13">
        <v>0.00011638242893241113</v>
      </c>
      <c r="AM26" s="28"/>
      <c r="AN26" s="13">
        <f>AQ26+AT26+AW26+AZ26+BC26</f>
        <v>0.02459626997905122</v>
      </c>
      <c r="AO26" s="13">
        <v>9.31059431459289E-06</v>
      </c>
      <c r="AP26">
        <v>385.62</v>
      </c>
      <c r="AQ26" s="13">
        <f>AP26*AO26</f>
        <v>0.0035903513795933106</v>
      </c>
      <c r="AR26" s="13">
        <v>9.31059431459289E-06</v>
      </c>
      <c r="AS26">
        <v>276.78</v>
      </c>
      <c r="AT26" s="13">
        <f>AR26*AS26</f>
        <v>0.00257698629439302</v>
      </c>
      <c r="AU26" s="13">
        <v>0</v>
      </c>
      <c r="AV26">
        <v>250.78</v>
      </c>
      <c r="AW26" s="13">
        <f>AU26*AV26</f>
        <v>0</v>
      </c>
      <c r="AX26" s="13">
        <f>AL26-AO26-AR26-AU26-BA26</f>
        <v>9.776124030322534E-05</v>
      </c>
      <c r="AY26" s="8">
        <f t="shared" si="16"/>
        <v>188.5096</v>
      </c>
      <c r="AZ26" s="13">
        <f>AX26*AY26</f>
        <v>0.01842893230506489</v>
      </c>
      <c r="BA26" s="13">
        <v>0</v>
      </c>
      <c r="BB26" s="8">
        <f t="shared" si="18"/>
        <v>301.462</v>
      </c>
      <c r="BC26" s="13">
        <f>BB26*BA26</f>
        <v>0</v>
      </c>
      <c r="BD26" s="13">
        <v>129.64601361757104</v>
      </c>
      <c r="BE26" s="8">
        <f t="shared" si="33"/>
        <v>218.85316879453345</v>
      </c>
      <c r="BF26" s="13">
        <f>BI26+BL26+BO26+BR26</f>
        <v>28373.440901784656</v>
      </c>
      <c r="BG26" s="13">
        <v>31.493681089405683</v>
      </c>
      <c r="BH26">
        <v>300.48</v>
      </c>
      <c r="BI26" s="13">
        <f>BG26*BH26</f>
        <v>9463.22129374462</v>
      </c>
      <c r="BJ26" s="13">
        <v>6.433681089405683</v>
      </c>
      <c r="BK26">
        <v>215.67</v>
      </c>
      <c r="BL26" s="13">
        <f>BJ26*BK26</f>
        <v>1387.5520005521234</v>
      </c>
      <c r="BM26" s="13">
        <v>79.90465143875969</v>
      </c>
      <c r="BN26" s="8">
        <f t="shared" si="23"/>
        <v>183.8444</v>
      </c>
      <c r="BO26" s="13">
        <f>BM26*BN26</f>
        <v>14690.022700967911</v>
      </c>
      <c r="BP26" s="13">
        <v>11.814</v>
      </c>
      <c r="BQ26" s="8">
        <f t="shared" si="25"/>
        <v>239.77018000000004</v>
      </c>
      <c r="BR26" s="13">
        <f>BP26*BQ26</f>
        <v>2832.6449065200004</v>
      </c>
    </row>
    <row r="27" spans="1:70" ht="13.5">
      <c r="A27" t="s">
        <v>73</v>
      </c>
      <c r="B27" s="13">
        <v>981.9770000000001</v>
      </c>
      <c r="C27" s="30">
        <f t="shared" si="27"/>
        <v>204.59770294966734</v>
      </c>
      <c r="D27" s="13">
        <f t="shared" si="30"/>
        <v>200910.2385494055</v>
      </c>
      <c r="E27" s="13"/>
      <c r="F27" s="13">
        <v>755.99</v>
      </c>
      <c r="G27" s="8">
        <v>187.33</v>
      </c>
      <c r="H27" s="13">
        <f t="shared" si="31"/>
        <v>141619.6067</v>
      </c>
      <c r="I27" s="13"/>
      <c r="J27" s="8">
        <v>187.33</v>
      </c>
      <c r="K27" s="13"/>
      <c r="L27" s="13"/>
      <c r="M27" s="8">
        <v>187.33</v>
      </c>
      <c r="N27" s="13"/>
      <c r="O27" s="13"/>
      <c r="P27" s="13">
        <f t="shared" si="32"/>
        <v>225.99443000000014</v>
      </c>
      <c r="Q27" s="8">
        <f t="shared" si="6"/>
        <v>262.3543945282433</v>
      </c>
      <c r="R27" s="13">
        <f t="shared" si="7"/>
        <v>59290.6318494055</v>
      </c>
      <c r="S27" s="13"/>
      <c r="T27" s="13">
        <v>0</v>
      </c>
      <c r="U27" s="8">
        <v>0</v>
      </c>
      <c r="V27" s="13">
        <f t="shared" si="8"/>
        <v>0</v>
      </c>
      <c r="W27" s="13">
        <v>0</v>
      </c>
      <c r="X27">
        <v>0</v>
      </c>
      <c r="Y27">
        <v>0</v>
      </c>
      <c r="Z27" s="13">
        <v>0</v>
      </c>
      <c r="AA27">
        <v>0</v>
      </c>
      <c r="AB27" s="13">
        <f t="shared" si="9"/>
        <v>0</v>
      </c>
      <c r="AC27" s="13">
        <v>0</v>
      </c>
      <c r="AD27">
        <v>0</v>
      </c>
      <c r="AE27">
        <v>0</v>
      </c>
      <c r="AF27" s="13">
        <f t="shared" si="10"/>
        <v>0</v>
      </c>
      <c r="AG27">
        <v>0</v>
      </c>
      <c r="AH27">
        <v>0</v>
      </c>
      <c r="AI27" s="13">
        <v>0</v>
      </c>
      <c r="AJ27" s="13">
        <v>0</v>
      </c>
      <c r="AK27" s="13">
        <v>0</v>
      </c>
      <c r="AL27" s="13">
        <v>121.79340538922163</v>
      </c>
      <c r="AM27" s="27">
        <f t="shared" si="28"/>
        <v>298.17842381267315</v>
      </c>
      <c r="AN27" s="13">
        <f t="shared" si="11"/>
        <v>36316.16564973604</v>
      </c>
      <c r="AO27" s="13">
        <v>35.48347243113773</v>
      </c>
      <c r="AP27">
        <v>385.62</v>
      </c>
      <c r="AQ27" s="13">
        <f t="shared" si="12"/>
        <v>13683.13663889533</v>
      </c>
      <c r="AR27" s="13">
        <v>6.143472431137729</v>
      </c>
      <c r="AS27">
        <v>276.78</v>
      </c>
      <c r="AT27" s="13">
        <f t="shared" si="13"/>
        <v>1700.3902994903005</v>
      </c>
      <c r="AU27" s="13">
        <v>1.6199999999999999</v>
      </c>
      <c r="AV27">
        <v>229.68</v>
      </c>
      <c r="AW27" s="13">
        <f t="shared" si="14"/>
        <v>372.0816</v>
      </c>
      <c r="AX27" s="13">
        <f t="shared" si="15"/>
        <v>27.60646052694618</v>
      </c>
      <c r="AY27" s="8">
        <f t="shared" si="16"/>
        <v>188.5096</v>
      </c>
      <c r="AZ27" s="13">
        <f t="shared" si="17"/>
        <v>5204.0828313504135</v>
      </c>
      <c r="BA27" s="13">
        <v>50.94</v>
      </c>
      <c r="BB27" s="8">
        <f t="shared" si="18"/>
        <v>301.462</v>
      </c>
      <c r="BC27" s="13">
        <f t="shared" si="19"/>
        <v>15356.474279999999</v>
      </c>
      <c r="BD27" s="13">
        <v>104.2010246107785</v>
      </c>
      <c r="BE27" s="8">
        <f t="shared" si="33"/>
        <v>220.48215250748115</v>
      </c>
      <c r="BF27" s="13">
        <f t="shared" si="20"/>
        <v>22974.466199669463</v>
      </c>
      <c r="BG27" s="13">
        <v>26.50808196886228</v>
      </c>
      <c r="BH27">
        <v>300.48</v>
      </c>
      <c r="BI27" s="13">
        <f t="shared" si="21"/>
        <v>7965.148470003739</v>
      </c>
      <c r="BJ27" s="13">
        <v>4.948081968862281</v>
      </c>
      <c r="BK27">
        <v>215.67</v>
      </c>
      <c r="BL27" s="13">
        <f t="shared" si="22"/>
        <v>1067.152838224528</v>
      </c>
      <c r="BM27" s="13">
        <v>62.580860673053934</v>
      </c>
      <c r="BN27" s="8">
        <f t="shared" si="23"/>
        <v>183.8444</v>
      </c>
      <c r="BO27" s="13">
        <f t="shared" si="24"/>
        <v>11505.140781921196</v>
      </c>
      <c r="BP27" s="13">
        <v>10.164</v>
      </c>
      <c r="BQ27" s="8">
        <f t="shared" si="25"/>
        <v>239.77018000000004</v>
      </c>
      <c r="BR27" s="13">
        <f t="shared" si="26"/>
        <v>2437.0241095200004</v>
      </c>
    </row>
    <row r="28" spans="1:70" ht="13.5">
      <c r="A28" t="s">
        <v>74</v>
      </c>
      <c r="B28" s="13">
        <v>609.295</v>
      </c>
      <c r="C28" s="30">
        <f t="shared" si="27"/>
        <v>224.27669489881077</v>
      </c>
      <c r="D28" s="13">
        <f t="shared" si="30"/>
        <v>136650.6688183709</v>
      </c>
      <c r="E28" s="13"/>
      <c r="F28" s="13">
        <v>398.72</v>
      </c>
      <c r="G28" s="8">
        <v>187.33</v>
      </c>
      <c r="H28" s="13">
        <f t="shared" si="31"/>
        <v>74692.2176</v>
      </c>
      <c r="I28" s="13"/>
      <c r="J28" s="8">
        <v>187.33</v>
      </c>
      <c r="K28" s="13"/>
      <c r="L28" s="13"/>
      <c r="M28" s="8">
        <v>187.33</v>
      </c>
      <c r="N28" s="13"/>
      <c r="O28" s="13"/>
      <c r="P28" s="13">
        <f t="shared" si="32"/>
        <v>210.56706999999994</v>
      </c>
      <c r="Q28" s="8">
        <f t="shared" si="6"/>
        <v>294.2456824724346</v>
      </c>
      <c r="R28" s="13">
        <f t="shared" si="7"/>
        <v>61958.4512183709</v>
      </c>
      <c r="S28" s="13"/>
      <c r="T28" s="13">
        <v>28</v>
      </c>
      <c r="U28" s="8">
        <f aca="true" t="shared" si="34" ref="U28:U33">V28/T28</f>
        <v>449.32186260828576</v>
      </c>
      <c r="V28" s="13">
        <f t="shared" si="8"/>
        <v>12581.012153032001</v>
      </c>
      <c r="W28" s="13">
        <v>1.7999999999999998</v>
      </c>
      <c r="X28">
        <v>500.8</v>
      </c>
      <c r="Y28" s="13">
        <f>W28*X28</f>
        <v>901.4399999999999</v>
      </c>
      <c r="Z28" s="13">
        <v>0.6040000000000001</v>
      </c>
      <c r="AA28" s="8">
        <f>0.1161*524.28+0.839*359.45</f>
        <v>362.447458</v>
      </c>
      <c r="AB28" s="13">
        <f t="shared" si="9"/>
        <v>218.91826463200002</v>
      </c>
      <c r="AC28" s="13">
        <v>1.404</v>
      </c>
      <c r="AD28">
        <v>255.34</v>
      </c>
      <c r="AE28" s="13">
        <f>AC28*AD28</f>
        <v>358.49735999999996</v>
      </c>
      <c r="AF28" s="13">
        <f t="shared" si="10"/>
        <v>2.3520000000000003</v>
      </c>
      <c r="AG28">
        <v>201.97</v>
      </c>
      <c r="AH28" s="13">
        <f>AF28*AG28</f>
        <v>475.03344000000004</v>
      </c>
      <c r="AI28" s="13">
        <v>21.84</v>
      </c>
      <c r="AJ28" s="8">
        <f>528.25*0.881+178.165*0.119</f>
        <v>486.58988500000004</v>
      </c>
      <c r="AK28" s="13">
        <f>AI28*AJ28</f>
        <v>10627.123088400002</v>
      </c>
      <c r="AL28" s="13">
        <v>85.09228823529409</v>
      </c>
      <c r="AM28" s="27">
        <f t="shared" si="28"/>
        <v>320.44132368559127</v>
      </c>
      <c r="AN28" s="13">
        <f t="shared" si="11"/>
        <v>27267.085477553504</v>
      </c>
      <c r="AO28" s="13">
        <v>29.40138305882353</v>
      </c>
      <c r="AP28">
        <v>385.62</v>
      </c>
      <c r="AQ28" s="13">
        <f t="shared" si="12"/>
        <v>11337.76133514353</v>
      </c>
      <c r="AR28" s="13">
        <v>3.647383058823528</v>
      </c>
      <c r="AS28">
        <v>276.78</v>
      </c>
      <c r="AT28" s="13">
        <f t="shared" si="13"/>
        <v>1009.5226830211759</v>
      </c>
      <c r="AU28" s="13">
        <v>1.422</v>
      </c>
      <c r="AV28">
        <v>229.68</v>
      </c>
      <c r="AW28" s="13">
        <f t="shared" si="14"/>
        <v>326.60496</v>
      </c>
      <c r="AX28" s="13">
        <f t="shared" si="15"/>
        <v>5.907522117647041</v>
      </c>
      <c r="AY28" s="8">
        <f t="shared" si="16"/>
        <v>188.5096</v>
      </c>
      <c r="AZ28" s="13">
        <f t="shared" si="17"/>
        <v>1113.6246313887966</v>
      </c>
      <c r="BA28" s="13">
        <v>44.714</v>
      </c>
      <c r="BB28" s="8">
        <f t="shared" si="18"/>
        <v>301.462</v>
      </c>
      <c r="BC28" s="13">
        <f t="shared" si="19"/>
        <v>13479.571867999999</v>
      </c>
      <c r="BD28" s="13">
        <v>97.47478176470585</v>
      </c>
      <c r="BE28" s="8">
        <f t="shared" si="33"/>
        <v>226.8315269600452</v>
      </c>
      <c r="BF28" s="13">
        <f t="shared" si="20"/>
        <v>22110.353587785397</v>
      </c>
      <c r="BG28" s="13">
        <v>29.15598254117647</v>
      </c>
      <c r="BH28">
        <v>300.48</v>
      </c>
      <c r="BI28" s="13">
        <f t="shared" si="21"/>
        <v>8760.789633972707</v>
      </c>
      <c r="BJ28" s="13">
        <v>3.815982541176469</v>
      </c>
      <c r="BK28">
        <v>215.67</v>
      </c>
      <c r="BL28" s="13">
        <f t="shared" si="22"/>
        <v>822.992954655529</v>
      </c>
      <c r="BM28" s="13">
        <v>52.55681668235292</v>
      </c>
      <c r="BN28" s="8">
        <f t="shared" si="23"/>
        <v>183.8444</v>
      </c>
      <c r="BO28" s="13">
        <f t="shared" si="24"/>
        <v>9662.276428877163</v>
      </c>
      <c r="BP28" s="13">
        <v>11.946</v>
      </c>
      <c r="BQ28" s="8">
        <f t="shared" si="25"/>
        <v>239.77018000000004</v>
      </c>
      <c r="BR28" s="13">
        <f t="shared" si="26"/>
        <v>2864.2945702800002</v>
      </c>
    </row>
    <row r="29" spans="1:83" ht="13.5">
      <c r="A29" t="s">
        <v>76</v>
      </c>
      <c r="B29" s="13">
        <v>1444.7309999999998</v>
      </c>
      <c r="C29" s="30">
        <f t="shared" si="27"/>
        <v>213.62991969810463</v>
      </c>
      <c r="D29" s="13">
        <f t="shared" si="30"/>
        <v>308637.76751536236</v>
      </c>
      <c r="E29" s="13"/>
      <c r="F29" s="13">
        <v>1088.84165</v>
      </c>
      <c r="G29" s="8">
        <v>187.33</v>
      </c>
      <c r="H29" s="13">
        <f t="shared" si="31"/>
        <v>203972.70629450004</v>
      </c>
      <c r="I29" s="13"/>
      <c r="J29" s="8">
        <v>187.33</v>
      </c>
      <c r="K29" s="13"/>
      <c r="L29" s="13"/>
      <c r="M29" s="8">
        <v>187.33</v>
      </c>
      <c r="N29" s="13"/>
      <c r="O29" s="13"/>
      <c r="P29" s="13">
        <f t="shared" si="32"/>
        <v>355.8893499999997</v>
      </c>
      <c r="Q29" s="8">
        <f t="shared" si="6"/>
        <v>294.0943897895861</v>
      </c>
      <c r="R29" s="13">
        <f t="shared" si="7"/>
        <v>104665.06122086234</v>
      </c>
      <c r="S29" s="13"/>
      <c r="T29" s="13">
        <v>31.65</v>
      </c>
      <c r="U29" s="8">
        <f t="shared" si="34"/>
        <v>483.431531885782</v>
      </c>
      <c r="V29" s="13">
        <f t="shared" si="8"/>
        <v>15300.607984185</v>
      </c>
      <c r="W29" s="13">
        <v>1.7814999999999994</v>
      </c>
      <c r="X29">
        <v>500.8</v>
      </c>
      <c r="Y29" s="13">
        <f>W29*X29</f>
        <v>892.1751999999997</v>
      </c>
      <c r="Z29" s="13">
        <v>0.07350000000000012</v>
      </c>
      <c r="AA29" s="13">
        <f>0.247*524.28+0.753*359.45</f>
        <v>400.16301</v>
      </c>
      <c r="AB29" s="13">
        <f t="shared" si="9"/>
        <v>29.41198123500005</v>
      </c>
      <c r="AC29" s="13">
        <v>0.366</v>
      </c>
      <c r="AD29">
        <v>255.34</v>
      </c>
      <c r="AE29" s="13">
        <f>AC29*AD29</f>
        <v>93.45444</v>
      </c>
      <c r="AF29" s="13">
        <f t="shared" si="10"/>
        <v>0.7590000000000003</v>
      </c>
      <c r="AG29">
        <v>201.97</v>
      </c>
      <c r="AH29" s="13">
        <f>AF29*AG29</f>
        <v>153.29523000000006</v>
      </c>
      <c r="AI29" s="13">
        <v>28.669999999999998</v>
      </c>
      <c r="AJ29" s="8">
        <f>528.25*0.893+178.165*0.119</f>
        <v>492.92888500000004</v>
      </c>
      <c r="AK29" s="13">
        <f>AI29*AJ29</f>
        <v>14132.27113295</v>
      </c>
      <c r="AL29" s="13">
        <v>159.78319263848383</v>
      </c>
      <c r="AM29" s="27">
        <f t="shared" si="28"/>
        <v>324.6016144619806</v>
      </c>
      <c r="AN29" s="13">
        <f t="shared" si="11"/>
        <v>51865.8822943415</v>
      </c>
      <c r="AO29" s="13">
        <v>56.826655411078704</v>
      </c>
      <c r="AP29">
        <v>385.62</v>
      </c>
      <c r="AQ29" s="13">
        <f t="shared" si="12"/>
        <v>21913.49485962017</v>
      </c>
      <c r="AR29" s="13">
        <v>6.622655411078707</v>
      </c>
      <c r="AS29">
        <v>276.78</v>
      </c>
      <c r="AT29" s="13">
        <f t="shared" si="13"/>
        <v>1833.0185646783643</v>
      </c>
      <c r="AU29" s="13">
        <v>2.772</v>
      </c>
      <c r="AV29">
        <v>229.68</v>
      </c>
      <c r="AW29" s="13">
        <f t="shared" si="14"/>
        <v>636.67296</v>
      </c>
      <c r="AX29" s="13">
        <f t="shared" si="15"/>
        <v>6.397881816326418</v>
      </c>
      <c r="AY29" s="8">
        <f t="shared" si="16"/>
        <v>188.5096</v>
      </c>
      <c r="AZ29" s="13">
        <f t="shared" si="17"/>
        <v>1206.0621420429666</v>
      </c>
      <c r="BA29" s="13">
        <v>87.16399999999999</v>
      </c>
      <c r="BB29" s="8">
        <f t="shared" si="18"/>
        <v>301.462</v>
      </c>
      <c r="BC29" s="13">
        <f t="shared" si="19"/>
        <v>26276.633767999996</v>
      </c>
      <c r="BD29" s="13">
        <v>164.4561573615159</v>
      </c>
      <c r="BE29" s="8">
        <f t="shared" si="33"/>
        <v>228.01560941196362</v>
      </c>
      <c r="BF29" s="13">
        <f t="shared" si="20"/>
        <v>37498.570942335835</v>
      </c>
      <c r="BG29" s="13">
        <v>50.56249258892127</v>
      </c>
      <c r="BH29">
        <v>300.48</v>
      </c>
      <c r="BI29" s="13">
        <f t="shared" si="21"/>
        <v>15193.017773119065</v>
      </c>
      <c r="BJ29" s="13">
        <v>6.182492588921271</v>
      </c>
      <c r="BK29">
        <v>215.67</v>
      </c>
      <c r="BL29" s="13">
        <f t="shared" si="22"/>
        <v>1333.3781766526504</v>
      </c>
      <c r="BM29" s="13">
        <v>86.78917218367334</v>
      </c>
      <c r="BN29" s="8">
        <f t="shared" si="23"/>
        <v>183.8444</v>
      </c>
      <c r="BO29" s="13">
        <f t="shared" si="24"/>
        <v>15955.703286604117</v>
      </c>
      <c r="BP29" s="13">
        <v>20.922</v>
      </c>
      <c r="BQ29" s="8">
        <f t="shared" si="25"/>
        <v>239.77018000000004</v>
      </c>
      <c r="BR29" s="13">
        <f t="shared" si="26"/>
        <v>5016.471705960001</v>
      </c>
      <c r="BY29" s="6"/>
      <c r="BZ29" s="6"/>
      <c r="CA29" s="6"/>
      <c r="CB29" s="6"/>
      <c r="CC29" s="6"/>
      <c r="CD29" s="6"/>
      <c r="CE29" s="6"/>
    </row>
    <row r="30" spans="1:83" s="6" customFormat="1" ht="13.5">
      <c r="A30" s="9" t="s">
        <v>166</v>
      </c>
      <c r="B30" s="14">
        <f>SUM(B23:B29)</f>
        <v>4172.252034472939</v>
      </c>
      <c r="C30" s="31">
        <f t="shared" si="27"/>
        <v>217.8926426977908</v>
      </c>
      <c r="D30" s="18">
        <f>SUM(D23:D29)</f>
        <v>909103.0217925429</v>
      </c>
      <c r="E30" s="13"/>
      <c r="F30" s="14">
        <f>SUM(F23:F29)</f>
        <v>2960.4202861218782</v>
      </c>
      <c r="G30" s="22">
        <f>H30/F30</f>
        <v>187.3384590868457</v>
      </c>
      <c r="H30" s="18">
        <f>SUM(H23:H29)</f>
        <v>554600.5746515115</v>
      </c>
      <c r="I30" s="18"/>
      <c r="J30" s="22">
        <v>187.3384590868457</v>
      </c>
      <c r="K30" s="18"/>
      <c r="L30" s="18"/>
      <c r="M30" s="22">
        <v>187.3384590868457</v>
      </c>
      <c r="N30" s="18"/>
      <c r="O30" s="14"/>
      <c r="P30" s="14">
        <f t="shared" si="32"/>
        <v>1211.8275283510611</v>
      </c>
      <c r="Q30" s="10">
        <f t="shared" si="6"/>
        <v>292.535397032451</v>
      </c>
      <c r="R30" s="14">
        <f t="shared" si="7"/>
        <v>354502.4471410314</v>
      </c>
      <c r="S30" s="14"/>
      <c r="T30" s="18">
        <f>SUM(T23:T29)</f>
        <v>210.3</v>
      </c>
      <c r="U30" s="10">
        <f t="shared" si="34"/>
        <v>433.1001079376343</v>
      </c>
      <c r="V30" s="18">
        <f>SUM(V23:V29)</f>
        <v>91080.95269928449</v>
      </c>
      <c r="W30" s="14">
        <f>SUM(W23:W29)</f>
        <v>25.239999999999995</v>
      </c>
      <c r="X30" s="9">
        <f>Y30/W30</f>
        <v>500.80000000000007</v>
      </c>
      <c r="Y30" s="18">
        <f>SUM(Y23:Y29)</f>
        <v>12640.192</v>
      </c>
      <c r="Z30" s="14">
        <f>SUM(Z23:Z29)</f>
        <v>13.599999999999998</v>
      </c>
      <c r="AA30" s="22">
        <f>AB30/Z30</f>
        <v>376.7336445098897</v>
      </c>
      <c r="AB30" s="14">
        <f>SUM(AB25:AB29)</f>
        <v>5123.577565334499</v>
      </c>
      <c r="AC30" s="14">
        <f>SUM(AC23:AC29)</f>
        <v>2.394</v>
      </c>
      <c r="AD30" s="9">
        <f>AE30/AC30</f>
        <v>255.33999999999997</v>
      </c>
      <c r="AE30" s="18">
        <f>SUM(AE25:AE29)</f>
        <v>611.28396</v>
      </c>
      <c r="AF30" s="14">
        <f>SUM(AF23:AF29)</f>
        <v>39.932000000000016</v>
      </c>
      <c r="AG30" s="22">
        <f>AH30/AF30</f>
        <v>201.96538953721324</v>
      </c>
      <c r="AH30" s="18">
        <f>SUM(AH23:AH29)</f>
        <v>8064.881935000002</v>
      </c>
      <c r="AI30" s="14">
        <f>SUM(AI23:AI29)</f>
        <v>129.134</v>
      </c>
      <c r="AJ30" s="22">
        <f>AK30/AI30</f>
        <v>500.573181648133</v>
      </c>
      <c r="AK30" s="18">
        <f>SUM(AK23:AK29)</f>
        <v>64641.01723895</v>
      </c>
      <c r="AL30" s="14">
        <f>SUM(AL23:AL29)</f>
        <v>441.8956195930783</v>
      </c>
      <c r="AM30" s="22">
        <f t="shared" si="28"/>
        <v>312.9131284022502</v>
      </c>
      <c r="AN30" s="14">
        <f>SUM(AN23:AN29)</f>
        <v>138274.94075412082</v>
      </c>
      <c r="AO30" s="14">
        <f>SUM(AO23:AO29)</f>
        <v>144.60364956744627</v>
      </c>
      <c r="AP30" s="6">
        <f>AQ30/AO30</f>
        <v>385.62</v>
      </c>
      <c r="AQ30" s="14">
        <f>SUM(AQ23:AQ29)</f>
        <v>55762.05934619863</v>
      </c>
      <c r="AR30" s="14">
        <f>SUM(AR23:AR29)</f>
        <v>20.071649567446265</v>
      </c>
      <c r="AS30" s="6">
        <f>AT30/AR30</f>
        <v>276.78</v>
      </c>
      <c r="AT30" s="14">
        <f>SUM(AT23:AT29)</f>
        <v>5555.431167277777</v>
      </c>
      <c r="AU30" s="14">
        <f>SUM(AU23:AU29)</f>
        <v>6.8759999999999994</v>
      </c>
      <c r="AV30" s="22">
        <f>AW30/AU30</f>
        <v>228.80835078534034</v>
      </c>
      <c r="AW30" s="14">
        <f>SUM(AW23:AW29)</f>
        <v>1573.28622</v>
      </c>
      <c r="AX30" s="14">
        <f>SUM(AX23:AX29)</f>
        <v>54.13232045818581</v>
      </c>
      <c r="AY30" s="10">
        <f>AZ30/AX30</f>
        <v>188.5096</v>
      </c>
      <c r="AZ30" s="14">
        <f>SUM(AZ23:AZ29)</f>
        <v>10204.462076644424</v>
      </c>
      <c r="BA30" s="14">
        <f>SUM(BA23:BA29)</f>
        <v>216.212</v>
      </c>
      <c r="BB30" s="10">
        <f>BC30/BA30</f>
        <v>301.462</v>
      </c>
      <c r="BC30" s="14">
        <f>SUM(BC23:BC29)</f>
        <v>65179.701944</v>
      </c>
      <c r="BD30" s="14">
        <f>SUM(BD23:BD29)</f>
        <v>559.6319087579826</v>
      </c>
      <c r="BE30" s="22">
        <f t="shared" si="33"/>
        <v>223.6229774055767</v>
      </c>
      <c r="BF30" s="18">
        <f>SUM(BF23:BF29)</f>
        <v>125146.55368762612</v>
      </c>
      <c r="BG30" s="14">
        <f>SUM(BG23:BG29)</f>
        <v>154.74655270063863</v>
      </c>
      <c r="BH30" s="6">
        <f>BI30/BG30</f>
        <v>300.47999999999996</v>
      </c>
      <c r="BI30" s="14">
        <f>SUM(BI23:BI29)</f>
        <v>46498.24415548789</v>
      </c>
      <c r="BJ30" s="14">
        <f>SUM(BJ23:BJ29)</f>
        <v>24.26655270063861</v>
      </c>
      <c r="BK30" s="6">
        <f>BL30/BJ30</f>
        <v>215.66999999999996</v>
      </c>
      <c r="BL30" s="14">
        <f>SUM(BL23:BL29)</f>
        <v>5233.567420946728</v>
      </c>
      <c r="BM30" s="14">
        <f>SUM(BM23:BM29)</f>
        <v>319.10680335670537</v>
      </c>
      <c r="BN30" s="10">
        <f>BO30/BM30</f>
        <v>183.8444</v>
      </c>
      <c r="BO30" s="14">
        <f>SUM(BO23:BO29)</f>
        <v>58665.99879903149</v>
      </c>
      <c r="BP30" s="14">
        <f>SUM(BP23:BP29)</f>
        <v>61.512</v>
      </c>
      <c r="BQ30" s="10">
        <f>BR30/BP30</f>
        <v>239.77018000000004</v>
      </c>
      <c r="BR30" s="14">
        <f>SUM(BR23:BR29)</f>
        <v>14748.743312160002</v>
      </c>
      <c r="BY30" s="56"/>
      <c r="BZ30" s="56"/>
      <c r="CA30" s="56"/>
      <c r="CB30" s="56"/>
      <c r="CC30" s="56"/>
      <c r="CD30" s="56"/>
      <c r="CE30" s="56"/>
    </row>
    <row r="31" spans="1:256" s="6" customFormat="1" ht="13.5">
      <c r="A31" s="56" t="s">
        <v>165</v>
      </c>
      <c r="B31" s="57">
        <f>B30-B23</f>
        <v>4019.0430344729393</v>
      </c>
      <c r="C31" s="31">
        <f t="shared" si="27"/>
        <v>218.3785524357765</v>
      </c>
      <c r="D31" s="57">
        <f>D30-D23</f>
        <v>877672.8000452911</v>
      </c>
      <c r="E31" s="13"/>
      <c r="F31" s="57">
        <f>F30-F23</f>
        <v>2841.710596121878</v>
      </c>
      <c r="G31" s="22">
        <f>H31/F31</f>
        <v>187.1437277593565</v>
      </c>
      <c r="H31" s="57">
        <f>H30-H23</f>
        <v>531808.3141715114</v>
      </c>
      <c r="I31" s="56"/>
      <c r="J31" s="56"/>
      <c r="K31" s="56"/>
      <c r="L31" s="56"/>
      <c r="M31" s="56"/>
      <c r="N31" s="56"/>
      <c r="O31" s="56"/>
      <c r="P31" s="57">
        <f>P30-P23</f>
        <v>1177.3282183510612</v>
      </c>
      <c r="Q31" s="10">
        <f t="shared" si="6"/>
        <v>293.7706584134961</v>
      </c>
      <c r="R31" s="57">
        <f>R30-R23</f>
        <v>345864.4858737796</v>
      </c>
      <c r="S31" s="56"/>
      <c r="T31" s="57">
        <f>T30-T23</f>
        <v>210.3</v>
      </c>
      <c r="U31" s="10">
        <f t="shared" si="34"/>
        <v>433.1001079376343</v>
      </c>
      <c r="V31" s="57">
        <f>V30-V23</f>
        <v>91080.95269928449</v>
      </c>
      <c r="W31" s="57">
        <f>W30-W23</f>
        <v>25.239999999999995</v>
      </c>
      <c r="X31" s="9">
        <f>Y31/W31</f>
        <v>500.80000000000007</v>
      </c>
      <c r="Y31" s="57">
        <f>Y30-Y23</f>
        <v>12640.192</v>
      </c>
      <c r="Z31" s="57">
        <f>Z30-Z23</f>
        <v>13.599999999999998</v>
      </c>
      <c r="AA31" s="22">
        <f>AB31/Z31</f>
        <v>376.7336445098897</v>
      </c>
      <c r="AB31" s="57">
        <f>AB30-AB23</f>
        <v>5123.577565334499</v>
      </c>
      <c r="AC31" s="57">
        <f>AC30-AC23</f>
        <v>2.394</v>
      </c>
      <c r="AD31" s="9">
        <f>AE31/AC31</f>
        <v>255.33999999999997</v>
      </c>
      <c r="AE31" s="57">
        <f>AE30-AE23</f>
        <v>611.28396</v>
      </c>
      <c r="AF31" s="57">
        <f>AF30-AF23</f>
        <v>39.932000000000016</v>
      </c>
      <c r="AG31" s="22">
        <f>AH31/AF31</f>
        <v>201.96538953721324</v>
      </c>
      <c r="AH31" s="57">
        <f>AH30-AH23</f>
        <v>8064.881935000002</v>
      </c>
      <c r="AI31" s="57">
        <f>AI30-AI23</f>
        <v>129.134</v>
      </c>
      <c r="AJ31" s="22">
        <f>AK31/AI31</f>
        <v>500.573181648133</v>
      </c>
      <c r="AK31" s="57">
        <f>AK30-AK23</f>
        <v>64641.01723895</v>
      </c>
      <c r="AL31" s="57">
        <f>AL30-AL23</f>
        <v>422.75597839307835</v>
      </c>
      <c r="AM31" s="22">
        <f t="shared" si="28"/>
        <v>314.47163722984374</v>
      </c>
      <c r="AN31" s="57">
        <f>AN30-AN23</f>
        <v>132944.7646739758</v>
      </c>
      <c r="AO31" s="57">
        <f>AO30-AO23</f>
        <v>139.92647827144626</v>
      </c>
      <c r="AP31" s="6">
        <f>AQ31/AO31</f>
        <v>385.62</v>
      </c>
      <c r="AQ31" s="57">
        <f>AQ30-AQ23</f>
        <v>53958.44855103511</v>
      </c>
      <c r="AR31" s="57">
        <f>AR30-AR23</f>
        <v>18.980478271446266</v>
      </c>
      <c r="AS31" s="6">
        <f>AT31/AR31</f>
        <v>276.78</v>
      </c>
      <c r="AT31" s="57">
        <f>AT30-AT23</f>
        <v>5253.416775970897</v>
      </c>
      <c r="AU31" s="57">
        <f>AU30-AU23</f>
        <v>6.677999999999999</v>
      </c>
      <c r="AV31" s="22">
        <f>AW31/AU31</f>
        <v>229.89970350404315</v>
      </c>
      <c r="AW31" s="57">
        <f>AW30-AW23</f>
        <v>1535.2702199999999</v>
      </c>
      <c r="AX31" s="57">
        <f>AX30-AX23</f>
        <v>47.18502185018581</v>
      </c>
      <c r="AY31" s="10">
        <f>AZ31/AX31</f>
        <v>188.5096</v>
      </c>
      <c r="AZ31" s="57">
        <f>AZ30-AZ23</f>
        <v>8894.829594969788</v>
      </c>
      <c r="BA31" s="57">
        <f>BA30-BA23</f>
        <v>209.986</v>
      </c>
      <c r="BB31" s="10">
        <f>BC31/BA31</f>
        <v>301.462</v>
      </c>
      <c r="BC31" s="57">
        <f>BC30-BC23</f>
        <v>63302.799532</v>
      </c>
      <c r="BD31" s="57">
        <f>BD30-BD23</f>
        <v>544.2722399579826</v>
      </c>
      <c r="BE31" s="22">
        <f t="shared" si="33"/>
        <v>223.85629755786408</v>
      </c>
      <c r="BF31" s="57">
        <f>BF30-BF23</f>
        <v>121838.76850051935</v>
      </c>
      <c r="BG31" s="57">
        <f>BG30-BG23</f>
        <v>151.39377919663863</v>
      </c>
      <c r="BH31" s="6">
        <f>BI31/BG31</f>
        <v>300.47999999999996</v>
      </c>
      <c r="BI31" s="57">
        <f>BI30-BI23</f>
        <v>45490.80277300597</v>
      </c>
      <c r="BJ31" s="57">
        <f>BJ30-BJ23</f>
        <v>23.43377919663861</v>
      </c>
      <c r="BK31" s="6">
        <f>BL31/BJ31</f>
        <v>215.66999999999993</v>
      </c>
      <c r="BL31" s="57">
        <f>BL30-BL23</f>
        <v>5053.963159339048</v>
      </c>
      <c r="BM31" s="57">
        <f>BM30-BM23</f>
        <v>309.12068156470536</v>
      </c>
      <c r="BN31" s="10">
        <f>BO31/BM31</f>
        <v>183.84440000000004</v>
      </c>
      <c r="BO31" s="57">
        <f>BO30-BO23</f>
        <v>56830.106229854326</v>
      </c>
      <c r="BP31" s="57">
        <f>BP30-BP23</f>
        <v>60.324</v>
      </c>
      <c r="BQ31" s="10">
        <f>BR31/BP31</f>
        <v>239.77018000000004</v>
      </c>
      <c r="BR31" s="57">
        <f>BR30-BR23</f>
        <v>14463.896338320003</v>
      </c>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t="s">
        <v>161</v>
      </c>
      <c r="DQ31" s="56" t="s">
        <v>161</v>
      </c>
      <c r="DR31" s="56" t="s">
        <v>161</v>
      </c>
      <c r="DS31" s="56" t="s">
        <v>161</v>
      </c>
      <c r="DT31" s="56" t="s">
        <v>161</v>
      </c>
      <c r="DU31" s="56" t="s">
        <v>161</v>
      </c>
      <c r="DV31" s="56" t="s">
        <v>161</v>
      </c>
      <c r="DW31" s="56" t="s">
        <v>161</v>
      </c>
      <c r="DX31" s="56" t="s">
        <v>161</v>
      </c>
      <c r="DY31" s="56" t="s">
        <v>161</v>
      </c>
      <c r="DZ31" s="56" t="s">
        <v>161</v>
      </c>
      <c r="EA31" s="56" t="s">
        <v>161</v>
      </c>
      <c r="EB31" s="56" t="s">
        <v>161</v>
      </c>
      <c r="EC31" s="56" t="s">
        <v>161</v>
      </c>
      <c r="ED31" s="56" t="s">
        <v>161</v>
      </c>
      <c r="EE31" s="56" t="s">
        <v>161</v>
      </c>
      <c r="EF31" s="56" t="s">
        <v>161</v>
      </c>
      <c r="EG31" s="56" t="s">
        <v>161</v>
      </c>
      <c r="EH31" s="56" t="s">
        <v>161</v>
      </c>
      <c r="EI31" s="56" t="s">
        <v>161</v>
      </c>
      <c r="EJ31" s="56" t="s">
        <v>161</v>
      </c>
      <c r="EK31" s="56" t="s">
        <v>161</v>
      </c>
      <c r="EL31" s="56" t="s">
        <v>161</v>
      </c>
      <c r="EM31" s="56" t="s">
        <v>161</v>
      </c>
      <c r="EN31" s="56" t="s">
        <v>161</v>
      </c>
      <c r="EO31" s="56" t="s">
        <v>161</v>
      </c>
      <c r="EP31" s="56" t="s">
        <v>161</v>
      </c>
      <c r="EQ31" s="56" t="s">
        <v>161</v>
      </c>
      <c r="ER31" s="56" t="s">
        <v>161</v>
      </c>
      <c r="ES31" s="56" t="s">
        <v>161</v>
      </c>
      <c r="ET31" s="56" t="s">
        <v>161</v>
      </c>
      <c r="EU31" s="56" t="s">
        <v>161</v>
      </c>
      <c r="EV31" s="56" t="s">
        <v>161</v>
      </c>
      <c r="EW31" s="56" t="s">
        <v>161</v>
      </c>
      <c r="EX31" s="56" t="s">
        <v>161</v>
      </c>
      <c r="EY31" s="56" t="s">
        <v>161</v>
      </c>
      <c r="EZ31" s="56" t="s">
        <v>161</v>
      </c>
      <c r="FA31" s="56" t="s">
        <v>161</v>
      </c>
      <c r="FB31" s="56" t="s">
        <v>161</v>
      </c>
      <c r="FC31" s="56" t="s">
        <v>161</v>
      </c>
      <c r="FD31" s="56" t="s">
        <v>161</v>
      </c>
      <c r="FE31" s="56" t="s">
        <v>161</v>
      </c>
      <c r="FF31" s="56" t="s">
        <v>161</v>
      </c>
      <c r="FG31" s="56" t="s">
        <v>161</v>
      </c>
      <c r="FH31" s="56" t="s">
        <v>161</v>
      </c>
      <c r="FI31" s="56" t="s">
        <v>161</v>
      </c>
      <c r="FJ31" s="56" t="s">
        <v>161</v>
      </c>
      <c r="FK31" s="56" t="s">
        <v>161</v>
      </c>
      <c r="FL31" s="56" t="s">
        <v>161</v>
      </c>
      <c r="FM31" s="56" t="s">
        <v>161</v>
      </c>
      <c r="FN31" s="56" t="s">
        <v>161</v>
      </c>
      <c r="FO31" s="56" t="s">
        <v>161</v>
      </c>
      <c r="FP31" s="56" t="s">
        <v>161</v>
      </c>
      <c r="FQ31" s="56" t="s">
        <v>161</v>
      </c>
      <c r="FR31" s="56" t="s">
        <v>161</v>
      </c>
      <c r="FS31" s="56" t="s">
        <v>161</v>
      </c>
      <c r="FT31" s="56" t="s">
        <v>161</v>
      </c>
      <c r="FU31" s="56" t="s">
        <v>161</v>
      </c>
      <c r="FV31" s="56" t="s">
        <v>161</v>
      </c>
      <c r="FW31" s="56" t="s">
        <v>161</v>
      </c>
      <c r="FX31" s="56" t="s">
        <v>161</v>
      </c>
      <c r="FY31" s="56" t="s">
        <v>161</v>
      </c>
      <c r="FZ31" s="56" t="s">
        <v>161</v>
      </c>
      <c r="GA31" s="56" t="s">
        <v>161</v>
      </c>
      <c r="GB31" s="56" t="s">
        <v>161</v>
      </c>
      <c r="GC31" s="56" t="s">
        <v>161</v>
      </c>
      <c r="GD31" s="56" t="s">
        <v>161</v>
      </c>
      <c r="GE31" s="56" t="s">
        <v>161</v>
      </c>
      <c r="GF31" s="56" t="s">
        <v>161</v>
      </c>
      <c r="GG31" s="56" t="s">
        <v>161</v>
      </c>
      <c r="GH31" s="56" t="s">
        <v>161</v>
      </c>
      <c r="GI31" s="56" t="s">
        <v>161</v>
      </c>
      <c r="GJ31" s="56" t="s">
        <v>161</v>
      </c>
      <c r="GK31" s="56" t="s">
        <v>161</v>
      </c>
      <c r="GL31" s="56" t="s">
        <v>161</v>
      </c>
      <c r="GM31" s="56" t="s">
        <v>161</v>
      </c>
      <c r="GN31" s="56" t="s">
        <v>161</v>
      </c>
      <c r="GO31" s="56" t="s">
        <v>161</v>
      </c>
      <c r="GP31" s="56" t="s">
        <v>161</v>
      </c>
      <c r="GQ31" s="56" t="s">
        <v>161</v>
      </c>
      <c r="GR31" s="56" t="s">
        <v>161</v>
      </c>
      <c r="GS31" s="56" t="s">
        <v>161</v>
      </c>
      <c r="GT31" s="56" t="s">
        <v>161</v>
      </c>
      <c r="GU31" s="56" t="s">
        <v>161</v>
      </c>
      <c r="GV31" s="56" t="s">
        <v>161</v>
      </c>
      <c r="GW31" s="56" t="s">
        <v>161</v>
      </c>
      <c r="GX31" s="56" t="s">
        <v>161</v>
      </c>
      <c r="GY31" s="56" t="s">
        <v>161</v>
      </c>
      <c r="GZ31" s="56" t="s">
        <v>161</v>
      </c>
      <c r="HA31" s="56" t="s">
        <v>161</v>
      </c>
      <c r="HB31" s="56" t="s">
        <v>161</v>
      </c>
      <c r="HC31" s="56" t="s">
        <v>161</v>
      </c>
      <c r="HD31" s="56" t="s">
        <v>161</v>
      </c>
      <c r="HE31" s="56" t="s">
        <v>161</v>
      </c>
      <c r="HF31" s="56" t="s">
        <v>161</v>
      </c>
      <c r="HG31" s="56" t="s">
        <v>161</v>
      </c>
      <c r="HH31" s="56" t="s">
        <v>161</v>
      </c>
      <c r="HI31" s="56" t="s">
        <v>161</v>
      </c>
      <c r="HJ31" s="56" t="s">
        <v>161</v>
      </c>
      <c r="HK31" s="56" t="s">
        <v>161</v>
      </c>
      <c r="HL31" s="56" t="s">
        <v>161</v>
      </c>
      <c r="HM31" s="56" t="s">
        <v>161</v>
      </c>
      <c r="HN31" s="56" t="s">
        <v>161</v>
      </c>
      <c r="HO31" s="56" t="s">
        <v>161</v>
      </c>
      <c r="HP31" s="56" t="s">
        <v>161</v>
      </c>
      <c r="HQ31" s="56" t="s">
        <v>161</v>
      </c>
      <c r="HR31" s="56" t="s">
        <v>161</v>
      </c>
      <c r="HS31" s="56" t="s">
        <v>161</v>
      </c>
      <c r="HT31" s="56" t="s">
        <v>161</v>
      </c>
      <c r="HU31" s="56" t="s">
        <v>161</v>
      </c>
      <c r="HV31" s="56" t="s">
        <v>161</v>
      </c>
      <c r="HW31" s="56" t="s">
        <v>161</v>
      </c>
      <c r="HX31" s="56" t="s">
        <v>161</v>
      </c>
      <c r="HY31" s="56" t="s">
        <v>161</v>
      </c>
      <c r="HZ31" s="56" t="s">
        <v>161</v>
      </c>
      <c r="IA31" s="56" t="s">
        <v>161</v>
      </c>
      <c r="IB31" s="56" t="s">
        <v>161</v>
      </c>
      <c r="IC31" s="56" t="s">
        <v>161</v>
      </c>
      <c r="ID31" s="56" t="s">
        <v>161</v>
      </c>
      <c r="IE31" s="56" t="s">
        <v>161</v>
      </c>
      <c r="IF31" s="56" t="s">
        <v>161</v>
      </c>
      <c r="IG31" s="56" t="s">
        <v>161</v>
      </c>
      <c r="IH31" s="56" t="s">
        <v>161</v>
      </c>
      <c r="II31" s="56" t="s">
        <v>161</v>
      </c>
      <c r="IJ31" s="56" t="s">
        <v>161</v>
      </c>
      <c r="IK31" s="56" t="s">
        <v>161</v>
      </c>
      <c r="IL31" s="56" t="s">
        <v>161</v>
      </c>
      <c r="IM31" s="56" t="s">
        <v>161</v>
      </c>
      <c r="IN31" s="56" t="s">
        <v>161</v>
      </c>
      <c r="IO31" s="56" t="s">
        <v>161</v>
      </c>
      <c r="IP31" s="56" t="s">
        <v>161</v>
      </c>
      <c r="IQ31" s="56" t="s">
        <v>161</v>
      </c>
      <c r="IR31" s="56" t="s">
        <v>161</v>
      </c>
      <c r="IS31" s="56" t="s">
        <v>161</v>
      </c>
      <c r="IT31" s="56" t="s">
        <v>161</v>
      </c>
      <c r="IU31" s="56" t="s">
        <v>161</v>
      </c>
      <c r="IV31" s="56" t="s">
        <v>161</v>
      </c>
    </row>
    <row r="32" spans="1:256" s="6" customFormat="1" ht="13.5">
      <c r="A32" s="56" t="s">
        <v>167</v>
      </c>
      <c r="B32" s="57">
        <f>B30-B23-B24-B26</f>
        <v>3351.009034472939</v>
      </c>
      <c r="C32" s="31">
        <f t="shared" si="27"/>
        <v>212.70799687101055</v>
      </c>
      <c r="D32" s="57">
        <f>D30-D23-D24-D26</f>
        <v>712786.419219398</v>
      </c>
      <c r="E32" s="13"/>
      <c r="F32" s="57">
        <f>F30-F23-F24-F26</f>
        <v>2468.650596121878</v>
      </c>
      <c r="G32" s="22">
        <f>H32/F32</f>
        <v>187.33</v>
      </c>
      <c r="H32" s="57">
        <f>H30-H23-H24-H26</f>
        <v>462452.3161715115</v>
      </c>
      <c r="I32" s="56"/>
      <c r="J32" s="56"/>
      <c r="K32" s="56"/>
      <c r="L32" s="56"/>
      <c r="M32" s="56"/>
      <c r="N32" s="56"/>
      <c r="O32" s="56"/>
      <c r="P32" s="57">
        <f>P30-P23-P24-P26</f>
        <v>882.3579383510612</v>
      </c>
      <c r="Q32" s="10">
        <f t="shared" si="6"/>
        <v>283.7103766706146</v>
      </c>
      <c r="R32" s="57">
        <f>R30-R23-R24-R26</f>
        <v>250334.1030478865</v>
      </c>
      <c r="S32" s="56"/>
      <c r="T32" s="57">
        <f>T30-T23-T24-T26</f>
        <v>59.650000000000006</v>
      </c>
      <c r="U32" s="10">
        <f t="shared" si="34"/>
        <v>467.4202872961776</v>
      </c>
      <c r="V32" s="57">
        <f>V30-V23-V24-V26</f>
        <v>27881.620137216996</v>
      </c>
      <c r="W32" s="57">
        <f>W30-W23-W24-W26</f>
        <v>3.5814999999999984</v>
      </c>
      <c r="X32" s="9">
        <f>Y32/W32</f>
        <v>500.8000000000003</v>
      </c>
      <c r="Y32" s="57">
        <f>Y30-Y23-Y24-Y26</f>
        <v>1793.6152000000002</v>
      </c>
      <c r="Z32" s="57">
        <f>Z30-Z23-Z24-Z26</f>
        <v>0.6774999999999984</v>
      </c>
      <c r="AA32" s="22">
        <f>AB32/Z32</f>
        <v>366.5391082907751</v>
      </c>
      <c r="AB32" s="57">
        <f>AB30-AB23-AB24-AB26</f>
        <v>248.33024586699958</v>
      </c>
      <c r="AC32" s="57">
        <f>AC30-AC23-AC24-AC26</f>
        <v>1.77</v>
      </c>
      <c r="AD32" s="9">
        <f>AE32/AC32</f>
        <v>255.33999999999995</v>
      </c>
      <c r="AE32" s="57">
        <f>AE30-AE23-AE24-AE26</f>
        <v>451.95179999999993</v>
      </c>
      <c r="AF32" s="57">
        <f>AF30-AF23-AF24-AF26</f>
        <v>3.111000000000004</v>
      </c>
      <c r="AG32" s="22">
        <f>AH32/AF32</f>
        <v>201.9699999999997</v>
      </c>
      <c r="AH32" s="57">
        <f>AH30-AH23-AH24-AH26</f>
        <v>628.3286699999999</v>
      </c>
      <c r="AI32" s="57">
        <f>AI30-AI23-AI24-AI26</f>
        <v>50.50999999999999</v>
      </c>
      <c r="AJ32" s="22">
        <f>AK32/AI32</f>
        <v>490.18796716194834</v>
      </c>
      <c r="AK32" s="57">
        <f>AK30-AK23-AK24-AK26</f>
        <v>24759.394221350005</v>
      </c>
      <c r="AL32" s="57">
        <f>AL30-AL23-AL24-AL26</f>
        <v>415.1253040106494</v>
      </c>
      <c r="AM32" s="22">
        <f t="shared" si="28"/>
        <v>314.52378902029204</v>
      </c>
      <c r="AN32" s="57">
        <f>AN30-AN23-AN24-AN26</f>
        <v>130566.7835356301</v>
      </c>
      <c r="AO32" s="57">
        <f>AO30-AO23-AO24-AO26</f>
        <v>137.45702432085193</v>
      </c>
      <c r="AP32" s="6">
        <f>AQ32/AO32</f>
        <v>385.62000000000006</v>
      </c>
      <c r="AQ32" s="57">
        <f>AQ30-AQ23-AQ24-AQ26</f>
        <v>53006.17771860693</v>
      </c>
      <c r="AR32" s="57">
        <f>AR30-AR23-AR24-AR26</f>
        <v>18.630024320851952</v>
      </c>
      <c r="AS32" s="6">
        <f>AT32/AR32</f>
        <v>276.78</v>
      </c>
      <c r="AT32" s="57">
        <f>AT30-AT23-AT24-AT26</f>
        <v>5156.418131525403</v>
      </c>
      <c r="AU32" s="57">
        <f>AU30-AU23-AU24-AU26</f>
        <v>6.560999999999999</v>
      </c>
      <c r="AV32" s="22">
        <f>AW32/AU32</f>
        <v>229.68000000000004</v>
      </c>
      <c r="AW32" s="57">
        <f>AW30-AW23-AW24-AW26</f>
        <v>1506.93048</v>
      </c>
      <c r="AX32" s="57">
        <f>AX30-AX23-AX24-AX26</f>
        <v>46.170255368945504</v>
      </c>
      <c r="AY32" s="10">
        <f>AZ32/AX32</f>
        <v>188.50960000000006</v>
      </c>
      <c r="AZ32" s="57">
        <f>AZ30-AZ23-AZ24-AZ26</f>
        <v>8703.536371497772</v>
      </c>
      <c r="BA32" s="57">
        <f>BA30-BA23-BA24-BA26</f>
        <v>206.307</v>
      </c>
      <c r="BB32" s="10">
        <f>BC32/BA32</f>
        <v>301.462</v>
      </c>
      <c r="BC32" s="57">
        <f>BC30-BC23-BC24-BC26</f>
        <v>62193.720834</v>
      </c>
      <c r="BD32" s="57">
        <f>BD30-BD23-BD24-BD26</f>
        <v>407.5826343404116</v>
      </c>
      <c r="BE32" s="22">
        <f t="shared" si="33"/>
        <v>225.44066315224032</v>
      </c>
      <c r="BF32" s="57">
        <f>BF30-BF23-BF24-BF26</f>
        <v>91885.69937503946</v>
      </c>
      <c r="BG32" s="57">
        <f>BG30-BG23-BG24-BG26</f>
        <v>117.92061074723294</v>
      </c>
      <c r="BH32" s="6">
        <f>BI32/BG32</f>
        <v>300.4799999999999</v>
      </c>
      <c r="BI32" s="57">
        <f>BI30-BI23-BI24-BI26</f>
        <v>35432.785117328545</v>
      </c>
      <c r="BJ32" s="57">
        <f>BJ30-BJ23-BJ24-BJ26</f>
        <v>16.70061074723293</v>
      </c>
      <c r="BK32" s="6">
        <f>BL32/BJ32</f>
        <v>215.6699999999999</v>
      </c>
      <c r="BL32" s="57">
        <f>BL30-BL23-BL24-BL26</f>
        <v>3601.8207198557243</v>
      </c>
      <c r="BM32" s="57">
        <f>BM30-BM23-BM24-BM26</f>
        <v>225.24341284594567</v>
      </c>
      <c r="BN32" s="10">
        <f>BO32/BM32</f>
        <v>183.84440000000006</v>
      </c>
      <c r="BO32" s="57">
        <f>BO30-BO23-BO24-BO26</f>
        <v>41409.74008861519</v>
      </c>
      <c r="BP32" s="57">
        <f>BP30-BP23-BP24-BP26</f>
        <v>47.717999999999996</v>
      </c>
      <c r="BQ32" s="10">
        <f>BR32/BP32</f>
        <v>239.7701800000001</v>
      </c>
      <c r="BR32" s="57">
        <f>BR30-BR23-BR24-BR26</f>
        <v>11441.353449240003</v>
      </c>
      <c r="BS32" s="56"/>
      <c r="BT32" s="56"/>
      <c r="BU32" s="56"/>
      <c r="BV32" s="56"/>
      <c r="BW32" s="56"/>
      <c r="BX32" s="56"/>
      <c r="BY32"/>
      <c r="BZ32"/>
      <c r="CA32"/>
      <c r="CB32"/>
      <c r="CC32"/>
      <c r="CD32"/>
      <c r="CE32"/>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t="s">
        <v>162</v>
      </c>
      <c r="DQ32" s="56" t="s">
        <v>162</v>
      </c>
      <c r="DR32" s="56" t="s">
        <v>162</v>
      </c>
      <c r="DS32" s="56" t="s">
        <v>162</v>
      </c>
      <c r="DT32" s="56" t="s">
        <v>162</v>
      </c>
      <c r="DU32" s="56" t="s">
        <v>162</v>
      </c>
      <c r="DV32" s="56" t="s">
        <v>162</v>
      </c>
      <c r="DW32" s="56" t="s">
        <v>162</v>
      </c>
      <c r="DX32" s="56" t="s">
        <v>162</v>
      </c>
      <c r="DY32" s="56" t="s">
        <v>162</v>
      </c>
      <c r="DZ32" s="56" t="s">
        <v>162</v>
      </c>
      <c r="EA32" s="56" t="s">
        <v>162</v>
      </c>
      <c r="EB32" s="56" t="s">
        <v>162</v>
      </c>
      <c r="EC32" s="56" t="s">
        <v>162</v>
      </c>
      <c r="ED32" s="56" t="s">
        <v>162</v>
      </c>
      <c r="EE32" s="56" t="s">
        <v>162</v>
      </c>
      <c r="EF32" s="56" t="s">
        <v>162</v>
      </c>
      <c r="EG32" s="56" t="s">
        <v>162</v>
      </c>
      <c r="EH32" s="56" t="s">
        <v>162</v>
      </c>
      <c r="EI32" s="56" t="s">
        <v>162</v>
      </c>
      <c r="EJ32" s="56" t="s">
        <v>162</v>
      </c>
      <c r="EK32" s="56" t="s">
        <v>162</v>
      </c>
      <c r="EL32" s="56" t="s">
        <v>162</v>
      </c>
      <c r="EM32" s="56" t="s">
        <v>162</v>
      </c>
      <c r="EN32" s="56" t="s">
        <v>162</v>
      </c>
      <c r="EO32" s="56" t="s">
        <v>162</v>
      </c>
      <c r="EP32" s="56" t="s">
        <v>162</v>
      </c>
      <c r="EQ32" s="56" t="s">
        <v>162</v>
      </c>
      <c r="ER32" s="56" t="s">
        <v>162</v>
      </c>
      <c r="ES32" s="56" t="s">
        <v>162</v>
      </c>
      <c r="ET32" s="56" t="s">
        <v>162</v>
      </c>
      <c r="EU32" s="56" t="s">
        <v>162</v>
      </c>
      <c r="EV32" s="56" t="s">
        <v>162</v>
      </c>
      <c r="EW32" s="56" t="s">
        <v>162</v>
      </c>
      <c r="EX32" s="56" t="s">
        <v>162</v>
      </c>
      <c r="EY32" s="56" t="s">
        <v>162</v>
      </c>
      <c r="EZ32" s="56" t="s">
        <v>162</v>
      </c>
      <c r="FA32" s="56" t="s">
        <v>162</v>
      </c>
      <c r="FB32" s="56" t="s">
        <v>162</v>
      </c>
      <c r="FC32" s="56" t="s">
        <v>162</v>
      </c>
      <c r="FD32" s="56" t="s">
        <v>162</v>
      </c>
      <c r="FE32" s="56" t="s">
        <v>162</v>
      </c>
      <c r="FF32" s="56" t="s">
        <v>162</v>
      </c>
      <c r="FG32" s="56" t="s">
        <v>162</v>
      </c>
      <c r="FH32" s="56" t="s">
        <v>162</v>
      </c>
      <c r="FI32" s="56" t="s">
        <v>162</v>
      </c>
      <c r="FJ32" s="56" t="s">
        <v>162</v>
      </c>
      <c r="FK32" s="56" t="s">
        <v>162</v>
      </c>
      <c r="FL32" s="56" t="s">
        <v>162</v>
      </c>
      <c r="FM32" s="56" t="s">
        <v>162</v>
      </c>
      <c r="FN32" s="56" t="s">
        <v>162</v>
      </c>
      <c r="FO32" s="56" t="s">
        <v>162</v>
      </c>
      <c r="FP32" s="56" t="s">
        <v>162</v>
      </c>
      <c r="FQ32" s="56" t="s">
        <v>162</v>
      </c>
      <c r="FR32" s="56" t="s">
        <v>162</v>
      </c>
      <c r="FS32" s="56" t="s">
        <v>162</v>
      </c>
      <c r="FT32" s="56" t="s">
        <v>162</v>
      </c>
      <c r="FU32" s="56" t="s">
        <v>162</v>
      </c>
      <c r="FV32" s="56" t="s">
        <v>162</v>
      </c>
      <c r="FW32" s="56" t="s">
        <v>162</v>
      </c>
      <c r="FX32" s="56" t="s">
        <v>162</v>
      </c>
      <c r="FY32" s="56" t="s">
        <v>162</v>
      </c>
      <c r="FZ32" s="56" t="s">
        <v>162</v>
      </c>
      <c r="GA32" s="56" t="s">
        <v>162</v>
      </c>
      <c r="GB32" s="56" t="s">
        <v>162</v>
      </c>
      <c r="GC32" s="56" t="s">
        <v>162</v>
      </c>
      <c r="GD32" s="56" t="s">
        <v>162</v>
      </c>
      <c r="GE32" s="56" t="s">
        <v>162</v>
      </c>
      <c r="GF32" s="56" t="s">
        <v>162</v>
      </c>
      <c r="GG32" s="56" t="s">
        <v>162</v>
      </c>
      <c r="GH32" s="56" t="s">
        <v>162</v>
      </c>
      <c r="GI32" s="56" t="s">
        <v>162</v>
      </c>
      <c r="GJ32" s="56" t="s">
        <v>162</v>
      </c>
      <c r="GK32" s="56" t="s">
        <v>162</v>
      </c>
      <c r="GL32" s="56" t="s">
        <v>162</v>
      </c>
      <c r="GM32" s="56" t="s">
        <v>162</v>
      </c>
      <c r="GN32" s="56" t="s">
        <v>162</v>
      </c>
      <c r="GO32" s="56" t="s">
        <v>162</v>
      </c>
      <c r="GP32" s="56" t="s">
        <v>162</v>
      </c>
      <c r="GQ32" s="56" t="s">
        <v>162</v>
      </c>
      <c r="GR32" s="56" t="s">
        <v>162</v>
      </c>
      <c r="GS32" s="56" t="s">
        <v>162</v>
      </c>
      <c r="GT32" s="56" t="s">
        <v>162</v>
      </c>
      <c r="GU32" s="56" t="s">
        <v>162</v>
      </c>
      <c r="GV32" s="56" t="s">
        <v>162</v>
      </c>
      <c r="GW32" s="56" t="s">
        <v>162</v>
      </c>
      <c r="GX32" s="56" t="s">
        <v>162</v>
      </c>
      <c r="GY32" s="56" t="s">
        <v>162</v>
      </c>
      <c r="GZ32" s="56" t="s">
        <v>162</v>
      </c>
      <c r="HA32" s="56" t="s">
        <v>162</v>
      </c>
      <c r="HB32" s="56" t="s">
        <v>162</v>
      </c>
      <c r="HC32" s="56" t="s">
        <v>162</v>
      </c>
      <c r="HD32" s="56" t="s">
        <v>162</v>
      </c>
      <c r="HE32" s="56" t="s">
        <v>162</v>
      </c>
      <c r="HF32" s="56" t="s">
        <v>162</v>
      </c>
      <c r="HG32" s="56" t="s">
        <v>162</v>
      </c>
      <c r="HH32" s="56" t="s">
        <v>162</v>
      </c>
      <c r="HI32" s="56" t="s">
        <v>162</v>
      </c>
      <c r="HJ32" s="56" t="s">
        <v>162</v>
      </c>
      <c r="HK32" s="56" t="s">
        <v>162</v>
      </c>
      <c r="HL32" s="56" t="s">
        <v>162</v>
      </c>
      <c r="HM32" s="56" t="s">
        <v>162</v>
      </c>
      <c r="HN32" s="56" t="s">
        <v>162</v>
      </c>
      <c r="HO32" s="56" t="s">
        <v>162</v>
      </c>
      <c r="HP32" s="56" t="s">
        <v>162</v>
      </c>
      <c r="HQ32" s="56" t="s">
        <v>162</v>
      </c>
      <c r="HR32" s="56" t="s">
        <v>162</v>
      </c>
      <c r="HS32" s="56" t="s">
        <v>162</v>
      </c>
      <c r="HT32" s="56" t="s">
        <v>162</v>
      </c>
      <c r="HU32" s="56" t="s">
        <v>162</v>
      </c>
      <c r="HV32" s="56" t="s">
        <v>162</v>
      </c>
      <c r="HW32" s="56" t="s">
        <v>162</v>
      </c>
      <c r="HX32" s="56" t="s">
        <v>162</v>
      </c>
      <c r="HY32" s="56" t="s">
        <v>162</v>
      </c>
      <c r="HZ32" s="56" t="s">
        <v>162</v>
      </c>
      <c r="IA32" s="56" t="s">
        <v>162</v>
      </c>
      <c r="IB32" s="56" t="s">
        <v>162</v>
      </c>
      <c r="IC32" s="56" t="s">
        <v>162</v>
      </c>
      <c r="ID32" s="56" t="s">
        <v>162</v>
      </c>
      <c r="IE32" s="56" t="s">
        <v>162</v>
      </c>
      <c r="IF32" s="56" t="s">
        <v>162</v>
      </c>
      <c r="IG32" s="56" t="s">
        <v>162</v>
      </c>
      <c r="IH32" s="56" t="s">
        <v>162</v>
      </c>
      <c r="II32" s="56" t="s">
        <v>162</v>
      </c>
      <c r="IJ32" s="56" t="s">
        <v>162</v>
      </c>
      <c r="IK32" s="56" t="s">
        <v>162</v>
      </c>
      <c r="IL32" s="56" t="s">
        <v>162</v>
      </c>
      <c r="IM32" s="56" t="s">
        <v>162</v>
      </c>
      <c r="IN32" s="56" t="s">
        <v>162</v>
      </c>
      <c r="IO32" s="56" t="s">
        <v>162</v>
      </c>
      <c r="IP32" s="56" t="s">
        <v>162</v>
      </c>
      <c r="IQ32" s="56" t="s">
        <v>162</v>
      </c>
      <c r="IR32" s="56" t="s">
        <v>162</v>
      </c>
      <c r="IS32" s="56" t="s">
        <v>162</v>
      </c>
      <c r="IT32" s="56" t="s">
        <v>162</v>
      </c>
      <c r="IU32" s="56" t="s">
        <v>162</v>
      </c>
      <c r="IV32" s="56" t="s">
        <v>162</v>
      </c>
    </row>
    <row r="33" spans="1:256" s="6" customFormat="1" ht="13.5">
      <c r="A33" s="56" t="s">
        <v>42</v>
      </c>
      <c r="B33" s="57">
        <f>B25+B27+B28</f>
        <v>1906.2780344729395</v>
      </c>
      <c r="C33" s="31">
        <f t="shared" si="27"/>
        <v>212.00928951362405</v>
      </c>
      <c r="D33" s="57">
        <f>D25+D27+D28</f>
        <v>404148.65170403564</v>
      </c>
      <c r="E33" s="13"/>
      <c r="F33" s="57">
        <f>F25+F27+F28</f>
        <v>1379.808946121878</v>
      </c>
      <c r="G33" s="22">
        <f>H33/F33</f>
        <v>187.33</v>
      </c>
      <c r="H33" s="57">
        <f>H25+H27+H28</f>
        <v>258479.60987701142</v>
      </c>
      <c r="I33" s="56"/>
      <c r="J33" s="8">
        <v>187.33</v>
      </c>
      <c r="K33" s="56"/>
      <c r="L33" s="56"/>
      <c r="M33" s="8">
        <v>187.33</v>
      </c>
      <c r="N33" s="56"/>
      <c r="O33" s="56"/>
      <c r="P33" s="57">
        <f>P25+P27+P28</f>
        <v>526.4685883510613</v>
      </c>
      <c r="Q33" s="10">
        <f t="shared" si="6"/>
        <v>276.6908511736103</v>
      </c>
      <c r="R33" s="57">
        <f>R25+R27+R28</f>
        <v>145669.04182702422</v>
      </c>
      <c r="S33" s="56"/>
      <c r="T33" s="57">
        <f>T25+T27+T28</f>
        <v>28</v>
      </c>
      <c r="U33" s="10">
        <f t="shared" si="34"/>
        <v>449.32186260828576</v>
      </c>
      <c r="V33" s="57">
        <f>V25+V27+V28</f>
        <v>12581.012153032001</v>
      </c>
      <c r="W33" s="57">
        <f>W25+W27+W28</f>
        <v>1.7999999999999998</v>
      </c>
      <c r="X33" s="9">
        <f>Y33/W33</f>
        <v>500.8</v>
      </c>
      <c r="Y33" s="57">
        <f>Y25+Y27+Y28</f>
        <v>901.4399999999999</v>
      </c>
      <c r="Z33" s="57">
        <f>Z25+Z27+Z28</f>
        <v>0.6040000000000001</v>
      </c>
      <c r="AA33" s="22">
        <f>AB33/Z33</f>
        <v>362.447458</v>
      </c>
      <c r="AB33" s="57">
        <f>AB25+AB27+AB28</f>
        <v>218.91826463200002</v>
      </c>
      <c r="AC33" s="57">
        <f>AC25+AC27+AC28</f>
        <v>1.404</v>
      </c>
      <c r="AD33" s="9">
        <f>AE33/AC33</f>
        <v>255.33999999999997</v>
      </c>
      <c r="AE33" s="57">
        <f>AE25+AE27+AE28</f>
        <v>358.49735999999996</v>
      </c>
      <c r="AF33" s="57">
        <f>AF25+AF27+AF28</f>
        <v>2.3520000000000003</v>
      </c>
      <c r="AG33" s="22">
        <f>AH33/AF33</f>
        <v>201.97</v>
      </c>
      <c r="AH33" s="57">
        <f>AH25+AH27+AH28</f>
        <v>475.03344000000004</v>
      </c>
      <c r="AI33" s="57">
        <f>AI25+AI27+AI28</f>
        <v>21.84</v>
      </c>
      <c r="AJ33" s="22">
        <f>AK33/AI33</f>
        <v>486.5898850000001</v>
      </c>
      <c r="AK33" s="57">
        <f>AK25+AK27+AK28</f>
        <v>10627.123088400002</v>
      </c>
      <c r="AL33" s="57">
        <f>AL25+AL27+AL28</f>
        <v>255.34211137216556</v>
      </c>
      <c r="AM33" s="22">
        <f t="shared" si="28"/>
        <v>308.2174766174024</v>
      </c>
      <c r="AN33" s="57">
        <f>AN25+AN27+AN28</f>
        <v>78700.9012412886</v>
      </c>
      <c r="AO33" s="57">
        <f>AO25+AO27+AO28</f>
        <v>80.63036890977324</v>
      </c>
      <c r="AP33" s="6">
        <f>AQ33/AO33</f>
        <v>385.62</v>
      </c>
      <c r="AQ33" s="57">
        <f>AQ25+AQ27+AQ28</f>
        <v>31092.68285898676</v>
      </c>
      <c r="AR33" s="57">
        <f>AR25+AR27+AR28</f>
        <v>12.007368909773245</v>
      </c>
      <c r="AS33" s="6">
        <f>AT33/AR33</f>
        <v>276.7799999999999</v>
      </c>
      <c r="AT33" s="57">
        <f>AT25+AT27+AT28</f>
        <v>3323.399566847038</v>
      </c>
      <c r="AU33" s="57">
        <f>AU25+AU27+AU28</f>
        <v>3.7889999999999997</v>
      </c>
      <c r="AV33" s="22">
        <f>AW33/AU33</f>
        <v>229.68</v>
      </c>
      <c r="AW33" s="57">
        <f>AW25+AW27+AW28</f>
        <v>870.25752</v>
      </c>
      <c r="AX33" s="57">
        <f>AX25+AX27+AX28</f>
        <v>39.772373552619094</v>
      </c>
      <c r="AY33" s="10">
        <f>AZ33/AX33</f>
        <v>188.5096</v>
      </c>
      <c r="AZ33" s="57">
        <f>AZ25+AZ27+AZ28</f>
        <v>7497.474229454804</v>
      </c>
      <c r="BA33" s="57">
        <f>BA25+BA27+BA28</f>
        <v>119.143</v>
      </c>
      <c r="BB33" s="10">
        <f>BC33/BA33</f>
        <v>301.46199999999993</v>
      </c>
      <c r="BC33" s="57">
        <f>BC25+BC27+BC28</f>
        <v>35917.08706599999</v>
      </c>
      <c r="BD33" s="57">
        <f>BD25+BD27+BD28</f>
        <v>243.12647697889565</v>
      </c>
      <c r="BE33" s="22">
        <f t="shared" si="33"/>
        <v>223.698912222648</v>
      </c>
      <c r="BF33" s="57">
        <f>BF25+BF27+BF28</f>
        <v>54387.12843270363</v>
      </c>
      <c r="BG33" s="57">
        <f>BG25+BG27+BG28</f>
        <v>67.35811815831165</v>
      </c>
      <c r="BH33" s="6">
        <f>BI33/BG33</f>
        <v>300.4800000000001</v>
      </c>
      <c r="BI33" s="57">
        <f>BI25+BI27+BI28</f>
        <v>20239.76734420949</v>
      </c>
      <c r="BJ33" s="57">
        <f>BJ25+BJ27+BJ28</f>
        <v>10.518118158311655</v>
      </c>
      <c r="BK33" s="6">
        <f>BL33/BJ33</f>
        <v>215.67</v>
      </c>
      <c r="BL33" s="57">
        <f>BL25+BL27+BL28</f>
        <v>2268.4425432030744</v>
      </c>
      <c r="BM33" s="57">
        <f>BM25+BM27+BM28</f>
        <v>138.45424066227235</v>
      </c>
      <c r="BN33" s="10">
        <f>BO33/BM33</f>
        <v>183.84439999999998</v>
      </c>
      <c r="BO33" s="57">
        <f>BO25+BO27+BO28</f>
        <v>25454.03680201106</v>
      </c>
      <c r="BP33" s="57">
        <f>BP25+BP27+BP28</f>
        <v>26.796</v>
      </c>
      <c r="BQ33" s="10">
        <f>BR33/BP33</f>
        <v>239.77018000000004</v>
      </c>
      <c r="BR33" s="57">
        <f>BR25+BR27+BR28</f>
        <v>6424.881743280001</v>
      </c>
      <c r="BS33" s="57"/>
      <c r="BT33" s="56"/>
      <c r="BU33" s="56"/>
      <c r="BV33" s="56"/>
      <c r="BW33" s="56"/>
      <c r="BX33" s="56"/>
      <c r="BY33"/>
      <c r="BZ33"/>
      <c r="CA33"/>
      <c r="CB33"/>
      <c r="CC33"/>
      <c r="CD33"/>
      <c r="CE33"/>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2:83" ht="12">
      <c r="B34" s="13"/>
      <c r="C34" s="30"/>
      <c r="E34" s="13"/>
      <c r="F34" s="13"/>
      <c r="G34" s="8"/>
      <c r="H34" s="13"/>
      <c r="I34" s="13"/>
      <c r="J34" s="8"/>
      <c r="K34" s="13"/>
      <c r="L34" s="13"/>
      <c r="M34" s="8"/>
      <c r="N34" s="13"/>
      <c r="O34" s="13"/>
      <c r="P34" s="13"/>
      <c r="Q34" s="8"/>
      <c r="R34" s="13"/>
      <c r="S34" s="13"/>
      <c r="T34" s="13"/>
      <c r="W34" s="13"/>
      <c r="Z34" s="13"/>
      <c r="AB34" s="13"/>
      <c r="AC34" s="13"/>
      <c r="AF34" s="13"/>
      <c r="AH34" s="13"/>
      <c r="AI34" s="13"/>
      <c r="AL34" s="13"/>
      <c r="AN34" s="13"/>
      <c r="AO34" s="13"/>
      <c r="AQ34" s="13"/>
      <c r="AR34" s="13"/>
      <c r="AU34" s="13"/>
      <c r="AX34" s="13"/>
      <c r="BA34" s="13"/>
      <c r="BD34" s="13"/>
      <c r="BG34" s="13"/>
      <c r="BJ34" s="13"/>
      <c r="BM34" s="13"/>
      <c r="BP34" s="13"/>
      <c r="BY34" s="6"/>
      <c r="BZ34" s="6"/>
      <c r="CA34" s="6"/>
      <c r="CB34" s="6"/>
      <c r="CC34" s="6"/>
      <c r="CD34" s="6"/>
      <c r="CE34" s="6"/>
    </row>
    <row r="35" spans="1:70" s="6" customFormat="1" ht="13.5">
      <c r="A35" s="9" t="s">
        <v>164</v>
      </c>
      <c r="B35" s="14">
        <f>B14+B19+B30</f>
        <v>11135.506726041775</v>
      </c>
      <c r="C35" s="31">
        <f t="shared" si="27"/>
        <v>220.57417067110566</v>
      </c>
      <c r="D35" s="18">
        <f>D14+D19+D30</f>
        <v>2456205.1610991834</v>
      </c>
      <c r="E35" s="13"/>
      <c r="F35" s="18">
        <f>F30+F19+F14</f>
        <v>7800.135087029028</v>
      </c>
      <c r="G35" s="22">
        <f>H35/F35</f>
        <v>194.6713228415115</v>
      </c>
      <c r="H35" s="18">
        <f>H30+H19+H14</f>
        <v>1518462.6157344293</v>
      </c>
      <c r="I35" s="18"/>
      <c r="J35" s="22">
        <v>194.6713228415115</v>
      </c>
      <c r="K35" s="18"/>
      <c r="L35" s="18"/>
      <c r="M35" s="22">
        <v>194.6713228415115</v>
      </c>
      <c r="N35" s="18"/>
      <c r="O35" s="14"/>
      <c r="P35" s="14">
        <f>T35+AL35+BD35</f>
        <v>3335.3641690127474</v>
      </c>
      <c r="Q35" s="10">
        <f t="shared" si="6"/>
        <v>281.1514718773038</v>
      </c>
      <c r="R35" s="14">
        <f t="shared" si="7"/>
        <v>937742.5453647542</v>
      </c>
      <c r="S35" s="14"/>
      <c r="T35" s="18">
        <f>T14+T19+T30</f>
        <v>671</v>
      </c>
      <c r="U35" s="22">
        <f>V35/T35</f>
        <v>418.0417442204732</v>
      </c>
      <c r="V35" s="18">
        <f>V14+V19+V30</f>
        <v>280506.01037193753</v>
      </c>
      <c r="W35" s="18">
        <f>W14+W19+W30</f>
        <v>113.7664</v>
      </c>
      <c r="X35" s="22">
        <f>Y35/W35</f>
        <v>500.8</v>
      </c>
      <c r="Y35" s="18">
        <f>Y14+Y19+Y30</f>
        <v>56974.21312</v>
      </c>
      <c r="Z35" s="14">
        <f>Z14+Z19+Z30</f>
        <v>68.3117</v>
      </c>
      <c r="AA35" s="22">
        <f>AB35/Z35</f>
        <v>391.1764746927905</v>
      </c>
      <c r="AB35" s="14">
        <f>AB14+AB19+AB30</f>
        <v>26721.929986271498</v>
      </c>
      <c r="AC35" s="18">
        <f>AC14+AC19+AC30</f>
        <v>6.6761</v>
      </c>
      <c r="AD35" s="22">
        <f>AE35/AC35</f>
        <v>255.34</v>
      </c>
      <c r="AE35" s="18">
        <f>AE14+AE19+AE30</f>
        <v>1704.675374</v>
      </c>
      <c r="AF35" s="18">
        <f>AF14+AF19+AF30</f>
        <v>137.08960000000002</v>
      </c>
      <c r="AG35" s="22">
        <f>AH35/AF35</f>
        <v>201.967310335722</v>
      </c>
      <c r="AH35" s="18">
        <f>AH14+AH19+AH30</f>
        <v>27687.617787</v>
      </c>
      <c r="AI35" s="18">
        <f>AI14+AI19+AI30</f>
        <v>345.1562</v>
      </c>
      <c r="AJ35" s="22">
        <f>AK35/AI35</f>
        <v>485.0487231713236</v>
      </c>
      <c r="AK35" s="18">
        <f>AK14+AK19+AK30</f>
        <v>167417.574104666</v>
      </c>
      <c r="AL35" s="14">
        <f>AL14+AL19+AL30</f>
        <v>1121.8928328789239</v>
      </c>
      <c r="AM35" s="22">
        <f t="shared" si="28"/>
        <v>287.7482062695488</v>
      </c>
      <c r="AN35" s="14">
        <f>AN14+AN19+AN30</f>
        <v>322822.650287573</v>
      </c>
      <c r="AO35" s="14">
        <f>AO14+AO19+AO30</f>
        <v>297.9451266303139</v>
      </c>
      <c r="AP35" s="6">
        <f>AQ35/AO35</f>
        <v>385.62000000000006</v>
      </c>
      <c r="AQ35" s="14">
        <f>AQ14+AQ19+AQ30</f>
        <v>114893.59973118166</v>
      </c>
      <c r="AR35" s="14">
        <f>AR14+AR19+AR30</f>
        <v>60.6334266303139</v>
      </c>
      <c r="AS35" s="6">
        <f>AT35/AR35</f>
        <v>276.7799999999999</v>
      </c>
      <c r="AT35" s="14">
        <f>AT14+AT19+AT30</f>
        <v>16782.119822738277</v>
      </c>
      <c r="AU35" s="14">
        <f>AU14+AU19+AU30</f>
        <v>13.103099999999998</v>
      </c>
      <c r="AV35" s="10">
        <f>AW35/AU35</f>
        <v>243.17202692492617</v>
      </c>
      <c r="AW35" s="14">
        <f>AW14+AW19+AW30</f>
        <v>3186.3073859999995</v>
      </c>
      <c r="AX35" s="14">
        <f>AX14+AX19+AX30</f>
        <v>338.191479618296</v>
      </c>
      <c r="AY35" s="10">
        <f>AZ35/AX35</f>
        <v>188.50959999999998</v>
      </c>
      <c r="AZ35" s="14">
        <f>AZ14+AZ19+AZ30</f>
        <v>63752.34054625312</v>
      </c>
      <c r="BA35" s="14">
        <f>BA14+BA19+BA30</f>
        <v>412.01969999999994</v>
      </c>
      <c r="BB35" s="10">
        <f>BC35/BA35</f>
        <v>301.46200000000005</v>
      </c>
      <c r="BC35" s="14">
        <f>BC14+BC19+BC30</f>
        <v>124208.2828014</v>
      </c>
      <c r="BD35" s="18">
        <f>BD14+BD19+BD30</f>
        <v>1542.4713361338236</v>
      </c>
      <c r="BE35" s="22">
        <f>BF35/BD35</f>
        <v>216.80395406468037</v>
      </c>
      <c r="BF35" s="18">
        <f>BF14+BF19+BF30</f>
        <v>334413.88470524363</v>
      </c>
      <c r="BG35" s="18">
        <f>BG14+BG19+BG30</f>
        <v>352.4357068907059</v>
      </c>
      <c r="BH35" s="6">
        <f>BI35/BG35</f>
        <v>300.48</v>
      </c>
      <c r="BI35" s="18">
        <f>BI14+BI19+BI30</f>
        <v>105899.8812065193</v>
      </c>
      <c r="BJ35" s="18">
        <f>BJ14+BJ19+BJ30</f>
        <v>80.69570689070588</v>
      </c>
      <c r="BK35" s="6">
        <f>BL35/BJ35</f>
        <v>215.67</v>
      </c>
      <c r="BL35" s="18">
        <f>BL14+BL19+BL30</f>
        <v>17403.643105118535</v>
      </c>
      <c r="BM35" s="18">
        <f>BM14+BM19+BM30</f>
        <v>981.2339223524118</v>
      </c>
      <c r="BN35" s="10">
        <f>BO35/BM35</f>
        <v>183.84439999999995</v>
      </c>
      <c r="BO35" s="18">
        <f>BO14+BO19+BO30</f>
        <v>180394.3617145257</v>
      </c>
      <c r="BP35" s="18">
        <f>BP14+BP19+BP30</f>
        <v>128.106</v>
      </c>
      <c r="BQ35" s="10">
        <f>BR35/BP35</f>
        <v>239.77018000000007</v>
      </c>
      <c r="BR35" s="18">
        <f>BR14+BR19+BR30</f>
        <v>30715.998679080007</v>
      </c>
    </row>
    <row r="36" spans="1:83" s="6" customFormat="1" ht="13.5">
      <c r="A36" s="9" t="s">
        <v>168</v>
      </c>
      <c r="B36" s="14">
        <f>B35+B41</f>
        <v>11826.918726041775</v>
      </c>
      <c r="C36" s="10">
        <f>D36/B36</f>
        <v>219.40526554931117</v>
      </c>
      <c r="D36" s="14">
        <f>D35+D41</f>
        <v>2594888.2437173165</v>
      </c>
      <c r="E36" s="13"/>
      <c r="F36" s="14">
        <f>F35+F41</f>
        <v>8360.046007029028</v>
      </c>
      <c r="G36" s="10">
        <f>H36/F36</f>
        <v>194.1796405202956</v>
      </c>
      <c r="H36" s="14">
        <f>H35+H41</f>
        <v>1623350.7283780293</v>
      </c>
      <c r="I36" s="14"/>
      <c r="J36" s="10">
        <v>194.1796405202956</v>
      </c>
      <c r="K36" s="14"/>
      <c r="L36" s="14"/>
      <c r="M36" s="10">
        <v>194.1796405202956</v>
      </c>
      <c r="N36" s="14"/>
      <c r="O36" s="14"/>
      <c r="P36" s="14">
        <f>P35+P41</f>
        <v>3466.8652490127474</v>
      </c>
      <c r="Q36" s="10">
        <f>R36/P36</f>
        <v>280.2351535341473</v>
      </c>
      <c r="R36" s="14">
        <f>R35+R41</f>
        <v>971537.5153392871</v>
      </c>
      <c r="S36" s="14"/>
      <c r="T36" s="14">
        <f>T35+T41</f>
        <v>671</v>
      </c>
      <c r="U36" s="10">
        <f>V36/T36</f>
        <v>418.0417442204732</v>
      </c>
      <c r="V36" s="14">
        <f>V35+V41</f>
        <v>280506.01037193753</v>
      </c>
      <c r="W36" s="14">
        <f>W35+W41</f>
        <v>113.7664</v>
      </c>
      <c r="X36" s="10">
        <f>Y36/W36</f>
        <v>500.8</v>
      </c>
      <c r="Y36" s="14">
        <f>Y35+Y41</f>
        <v>56974.21312</v>
      </c>
      <c r="Z36" s="14">
        <f>Z35+Z41</f>
        <v>68.3117</v>
      </c>
      <c r="AA36" s="10">
        <f>AB36/Z36</f>
        <v>391.1764746927905</v>
      </c>
      <c r="AB36" s="14">
        <f>AB35+AB41</f>
        <v>26721.929986271498</v>
      </c>
      <c r="AC36" s="14">
        <f>AC35+AC41</f>
        <v>6.6761</v>
      </c>
      <c r="AD36" s="10">
        <f>AE36/AC36</f>
        <v>255.34</v>
      </c>
      <c r="AE36" s="14">
        <f>AE35+AE41</f>
        <v>1704.675374</v>
      </c>
      <c r="AF36" s="14">
        <f>AF35+AF41</f>
        <v>137.08960000000002</v>
      </c>
      <c r="AG36" s="10">
        <f>AH36/AF36</f>
        <v>201.967310335722</v>
      </c>
      <c r="AH36" s="14">
        <f>AH35+AH41</f>
        <v>27687.617787</v>
      </c>
      <c r="AI36" s="14">
        <f>AI35+AI41</f>
        <v>345.1562</v>
      </c>
      <c r="AJ36" s="10">
        <f>AK36/AI36</f>
        <v>485.0487231713236</v>
      </c>
      <c r="AK36" s="14">
        <f>AK35+AK41</f>
        <v>167417.574104666</v>
      </c>
      <c r="AL36" s="14">
        <f>AL35+AL41</f>
        <v>1192.4251678859666</v>
      </c>
      <c r="AM36" s="10">
        <f>AN36/AL36</f>
        <v>287.90982001887954</v>
      </c>
      <c r="AN36" s="14">
        <f>AN35+AN41</f>
        <v>343310.9154720309</v>
      </c>
      <c r="AO36" s="14">
        <f>AO35+AO41</f>
        <v>317.1727134308773</v>
      </c>
      <c r="AP36" s="10">
        <f>AQ36/AO36</f>
        <v>385.62000000000006</v>
      </c>
      <c r="AQ36" s="14">
        <f>AQ35+AQ41</f>
        <v>122308.14175321494</v>
      </c>
      <c r="AR36" s="14">
        <f>AR35+AR41</f>
        <v>64.37601343087732</v>
      </c>
      <c r="AS36" s="10">
        <f>AT36/AR36</f>
        <v>276.78</v>
      </c>
      <c r="AT36" s="14">
        <f>AT35+AT41</f>
        <v>17817.99299739822</v>
      </c>
      <c r="AU36" s="14">
        <f>AU35+AU41</f>
        <v>13.958099999999998</v>
      </c>
      <c r="AV36" s="10">
        <f>AW36/AU36</f>
        <v>242.34557611709332</v>
      </c>
      <c r="AW36" s="14">
        <f>AW35+AW41</f>
        <v>3382.6837859999996</v>
      </c>
      <c r="AX36" s="14">
        <f>AX35+AX41</f>
        <v>358.01364102421195</v>
      </c>
      <c r="AY36" s="10">
        <f>AZ36/AX36</f>
        <v>188.50959999999995</v>
      </c>
      <c r="AZ36" s="14">
        <f>AZ35+AZ41</f>
        <v>67489.00826401777</v>
      </c>
      <c r="BA36" s="14">
        <f>BA35+BA41</f>
        <v>438.90469999999993</v>
      </c>
      <c r="BB36" s="10">
        <f>BC36/BA36</f>
        <v>301.46200000000005</v>
      </c>
      <c r="BC36" s="14">
        <f>BC35+BC41</f>
        <v>132313.0886714</v>
      </c>
      <c r="BD36" s="14">
        <f>BD35+BD41</f>
        <v>1603.4400811267808</v>
      </c>
      <c r="BE36" s="10">
        <f>BF36/BD36</f>
        <v>216.85911035164222</v>
      </c>
      <c r="BF36" s="14">
        <f>BF35+BF41</f>
        <v>347720.5894953187</v>
      </c>
      <c r="BG36" s="14">
        <f>BG35+BG41</f>
        <v>366.98920649014246</v>
      </c>
      <c r="BH36" s="10">
        <f>BI36/BG36</f>
        <v>300.48</v>
      </c>
      <c r="BI36" s="14">
        <f>BI35+BI41</f>
        <v>110272.91676615801</v>
      </c>
      <c r="BJ36" s="14">
        <f>BJ35+BJ41</f>
        <v>83.76920649014245</v>
      </c>
      <c r="BK36" s="10">
        <f>BL36/BJ36</f>
        <v>215.67</v>
      </c>
      <c r="BL36" s="14">
        <f>BL35+BL41</f>
        <v>18066.504763729023</v>
      </c>
      <c r="BM36" s="14">
        <f>BM35+BM41</f>
        <v>1019.1636681464959</v>
      </c>
      <c r="BN36" s="10">
        <f>BO36/BM36</f>
        <v>183.84439999999998</v>
      </c>
      <c r="BO36" s="14">
        <f>BO35+BO41</f>
        <v>187367.5330721916</v>
      </c>
      <c r="BP36" s="14">
        <f>BP35+BP41</f>
        <v>133.518</v>
      </c>
      <c r="BQ36" s="10">
        <f>BR36/BP36</f>
        <v>239.77018000000004</v>
      </c>
      <c r="BR36" s="14">
        <f>BR35+BR41</f>
        <v>32013.634893240007</v>
      </c>
      <c r="BY36"/>
      <c r="BZ36"/>
      <c r="CA36"/>
      <c r="CB36"/>
      <c r="CC36"/>
      <c r="CD36"/>
      <c r="CE36"/>
    </row>
    <row r="37" spans="1:70" ht="13.5">
      <c r="A37" s="9"/>
      <c r="B37" s="13"/>
      <c r="C37" s="31"/>
      <c r="D37" s="20"/>
      <c r="E37" s="20"/>
      <c r="F37" s="13"/>
      <c r="G37" s="17"/>
      <c r="H37" s="20"/>
      <c r="I37" s="20"/>
      <c r="J37" s="17"/>
      <c r="K37" s="20"/>
      <c r="L37" s="20"/>
      <c r="M37" s="17"/>
      <c r="N37" s="20"/>
      <c r="P37" s="13"/>
      <c r="Q37" s="8"/>
      <c r="R37" s="13"/>
      <c r="S37" s="13"/>
      <c r="T37" s="13"/>
      <c r="U37" s="22"/>
      <c r="V37" s="20"/>
      <c r="W37" s="13"/>
      <c r="X37" s="22"/>
      <c r="Y37" s="20"/>
      <c r="Z37" s="13"/>
      <c r="AA37" s="22"/>
      <c r="AB37" s="13"/>
      <c r="AC37" s="13"/>
      <c r="AD37" s="22"/>
      <c r="AE37" s="20"/>
      <c r="AF37" s="13"/>
      <c r="AG37" s="22"/>
      <c r="AH37" s="20"/>
      <c r="AI37" s="13"/>
      <c r="AJ37" s="22"/>
      <c r="AK37" s="20"/>
      <c r="AL37" s="13"/>
      <c r="AM37" s="22"/>
      <c r="AN37" s="14"/>
      <c r="AO37" s="13"/>
      <c r="AP37" s="6"/>
      <c r="AQ37" s="14"/>
      <c r="AR37" s="13"/>
      <c r="AS37" s="6"/>
      <c r="AT37" s="14"/>
      <c r="AU37" s="13"/>
      <c r="AV37" s="10"/>
      <c r="AW37" s="14"/>
      <c r="AX37" s="13"/>
      <c r="AY37" s="10"/>
      <c r="AZ37" s="14"/>
      <c r="BA37" s="13"/>
      <c r="BB37" s="10"/>
      <c r="BC37" s="14"/>
      <c r="BD37" s="13"/>
      <c r="BE37" s="22"/>
      <c r="BF37" s="18"/>
      <c r="BG37" s="13"/>
      <c r="BH37" s="33"/>
      <c r="BI37" s="18"/>
      <c r="BJ37" s="13"/>
      <c r="BK37" s="33"/>
      <c r="BL37" s="18"/>
      <c r="BM37" s="13"/>
      <c r="BN37" s="34"/>
      <c r="BO37" s="18"/>
      <c r="BP37" s="13"/>
      <c r="BQ37" s="34"/>
      <c r="BR37" s="18"/>
    </row>
    <row r="38" spans="1:70" ht="13.5">
      <c r="A38" t="s">
        <v>71</v>
      </c>
      <c r="B38" s="13">
        <v>455.60400000000004</v>
      </c>
      <c r="C38" s="30">
        <f>D38/B38</f>
        <v>201.30628703864755</v>
      </c>
      <c r="D38" s="13">
        <f>H38+V38+AN38+BF38</f>
        <v>91715.94959995599</v>
      </c>
      <c r="E38" s="13"/>
      <c r="F38" s="13">
        <v>364.10164</v>
      </c>
      <c r="G38" s="8">
        <v>187.33</v>
      </c>
      <c r="H38" s="13">
        <f>F38*G38</f>
        <v>68207.1602212</v>
      </c>
      <c r="I38" s="13"/>
      <c r="J38" s="8">
        <v>187.33</v>
      </c>
      <c r="K38" s="13"/>
      <c r="L38" s="13"/>
      <c r="M38" s="8">
        <v>187.33</v>
      </c>
      <c r="N38" s="13"/>
      <c r="P38" s="13">
        <f>T38+AL38+BD38</f>
        <v>91.50236000000001</v>
      </c>
      <c r="Q38" s="8">
        <f>R38/P38</f>
        <v>256.92003330576375</v>
      </c>
      <c r="R38" s="13">
        <f>V38+AN38+BF38</f>
        <v>23508.789378755988</v>
      </c>
      <c r="S38" s="13"/>
      <c r="T38" s="13">
        <v>0</v>
      </c>
      <c r="U38" s="8">
        <v>0</v>
      </c>
      <c r="V38" s="13">
        <f>Y38+AB38+AE38+AH38+AK38</f>
        <v>0</v>
      </c>
      <c r="W38" s="13">
        <v>0</v>
      </c>
      <c r="X38">
        <v>0</v>
      </c>
      <c r="Y38">
        <v>0</v>
      </c>
      <c r="Z38" s="13">
        <v>0</v>
      </c>
      <c r="AA38">
        <v>0</v>
      </c>
      <c r="AB38" s="13">
        <f>Z38*AA38</f>
        <v>0</v>
      </c>
      <c r="AC38" s="13">
        <v>0</v>
      </c>
      <c r="AD38">
        <v>0</v>
      </c>
      <c r="AE38">
        <v>0</v>
      </c>
      <c r="AF38" s="13">
        <f>T38-W38-Z38-AC38-AI38</f>
        <v>0</v>
      </c>
      <c r="AG38">
        <v>0</v>
      </c>
      <c r="AH38">
        <v>0</v>
      </c>
      <c r="AI38" s="13">
        <v>0</v>
      </c>
      <c r="AJ38" s="13">
        <v>0</v>
      </c>
      <c r="AK38" s="13">
        <v>0</v>
      </c>
      <c r="AL38" s="13">
        <v>49.09882731707317</v>
      </c>
      <c r="AM38" s="27">
        <f>AN38/AL38</f>
        <v>290.3234406691919</v>
      </c>
      <c r="AN38" s="13">
        <f>AQ38+AT38+AW38+AZ38+BC38</f>
        <v>14254.540479515192</v>
      </c>
      <c r="AO38" s="13">
        <v>13.365906185365855</v>
      </c>
      <c r="AP38">
        <v>385.62</v>
      </c>
      <c r="AQ38" s="13">
        <f>AP38*AO38</f>
        <v>5154.160743200781</v>
      </c>
      <c r="AR38" s="13">
        <v>2.607906185365854</v>
      </c>
      <c r="AS38">
        <v>276.78</v>
      </c>
      <c r="AT38" s="13">
        <f>AR38*AS38</f>
        <v>721.816273985561</v>
      </c>
      <c r="AU38" s="13">
        <v>0.594</v>
      </c>
      <c r="AV38">
        <v>229.68</v>
      </c>
      <c r="AW38" s="13">
        <f>AU38*AV38</f>
        <v>136.42992</v>
      </c>
      <c r="AX38" s="13">
        <f>AL38-AO38-AR38-AU38-BA38</f>
        <v>13.85301494634146</v>
      </c>
      <c r="AY38" s="8">
        <f t="shared" si="16"/>
        <v>188.5096</v>
      </c>
      <c r="AZ38" s="13">
        <f>AX38*AY38</f>
        <v>2611.4263063288504</v>
      </c>
      <c r="BA38" s="13">
        <v>18.677999999999997</v>
      </c>
      <c r="BB38" s="8">
        <f t="shared" si="18"/>
        <v>301.462</v>
      </c>
      <c r="BC38" s="13">
        <f>BB38*BA38</f>
        <v>5630.707235999999</v>
      </c>
      <c r="BD38" s="13">
        <v>42.40353268292683</v>
      </c>
      <c r="BE38" s="8">
        <f>BF38/BD38</f>
        <v>218.24240372705754</v>
      </c>
      <c r="BF38" s="13">
        <f>BI38+BL38+BO38+BR38</f>
        <v>9254.248899240796</v>
      </c>
      <c r="BG38" s="13">
        <v>10.118282614634147</v>
      </c>
      <c r="BH38">
        <v>300.48</v>
      </c>
      <c r="BI38" s="13">
        <f>BG38*BH38</f>
        <v>3040.3415600452686</v>
      </c>
      <c r="BJ38" s="13">
        <v>2.1382826146341465</v>
      </c>
      <c r="BK38">
        <v>215.67</v>
      </c>
      <c r="BL38" s="13">
        <f>BJ38*BK38</f>
        <v>461.16341149814633</v>
      </c>
      <c r="BM38" s="13">
        <v>26.384967453658536</v>
      </c>
      <c r="BN38" s="8">
        <f t="shared" si="23"/>
        <v>183.8444</v>
      </c>
      <c r="BO38" s="13">
        <f>BM38*BN38</f>
        <v>4850.728510537381</v>
      </c>
      <c r="BP38" s="13">
        <v>3.762</v>
      </c>
      <c r="BQ38" s="8">
        <f t="shared" si="25"/>
        <v>239.77018000000004</v>
      </c>
      <c r="BR38" s="13">
        <f>BP38*BQ38</f>
        <v>902.0154171600002</v>
      </c>
    </row>
    <row r="39" spans="1:70" ht="13.5">
      <c r="A39" t="s">
        <v>72</v>
      </c>
      <c r="B39" s="13">
        <v>17.309</v>
      </c>
      <c r="C39" s="30">
        <f>D39/B39</f>
        <v>207.80226198869818</v>
      </c>
      <c r="D39" s="13">
        <f>H39+V39+AN39+BF39</f>
        <v>3596.849352762377</v>
      </c>
      <c r="E39" s="13"/>
      <c r="F39" s="13">
        <v>13.320689999999999</v>
      </c>
      <c r="G39" s="8">
        <v>187.33</v>
      </c>
      <c r="H39" s="13">
        <f>F39*G39</f>
        <v>2495.3648577</v>
      </c>
      <c r="I39" s="13"/>
      <c r="J39" s="8">
        <v>187.33</v>
      </c>
      <c r="K39" s="13"/>
      <c r="L39" s="13"/>
      <c r="M39" s="8">
        <v>187.33</v>
      </c>
      <c r="N39" s="13"/>
      <c r="P39" s="13">
        <f>T39+AL39+BD39</f>
        <v>3.988310000000001</v>
      </c>
      <c r="Q39" s="8">
        <f>R39/P39</f>
        <v>276.17825471499884</v>
      </c>
      <c r="R39" s="13">
        <f>V39+AN39+BF39</f>
        <v>1101.4844950623774</v>
      </c>
      <c r="S39" s="13"/>
      <c r="T39" s="13">
        <v>0</v>
      </c>
      <c r="U39" s="8">
        <v>0</v>
      </c>
      <c r="V39" s="13">
        <f>Y39+AB39+AE39+AH39+AK39</f>
        <v>0</v>
      </c>
      <c r="W39" s="13">
        <v>0</v>
      </c>
      <c r="X39">
        <v>0</v>
      </c>
      <c r="Y39">
        <v>0</v>
      </c>
      <c r="Z39" s="13">
        <v>0</v>
      </c>
      <c r="AA39">
        <v>0</v>
      </c>
      <c r="AB39" s="13">
        <f>Z39*AA39</f>
        <v>0</v>
      </c>
      <c r="AC39" s="13">
        <v>0</v>
      </c>
      <c r="AD39">
        <v>0</v>
      </c>
      <c r="AE39">
        <v>0</v>
      </c>
      <c r="AF39" s="13">
        <f>T39-W39-Z39-AC39-AI39</f>
        <v>0</v>
      </c>
      <c r="AG39">
        <v>0</v>
      </c>
      <c r="AH39">
        <v>0</v>
      </c>
      <c r="AI39" s="13">
        <v>0</v>
      </c>
      <c r="AJ39" s="13">
        <v>0</v>
      </c>
      <c r="AK39" s="13">
        <v>0</v>
      </c>
      <c r="AL39" s="13">
        <v>2.2790342857142862</v>
      </c>
      <c r="AM39" s="27">
        <f>AN39/AL39</f>
        <v>314.46697590002776</v>
      </c>
      <c r="AN39" s="13">
        <f>AQ39+AT39+AW39+AZ39+BC39</f>
        <v>716.6810198010514</v>
      </c>
      <c r="AO39" s="13">
        <v>0.7543227428571428</v>
      </c>
      <c r="AP39">
        <v>385.62</v>
      </c>
      <c r="AQ39" s="13">
        <f>AP39*AO39</f>
        <v>290.8819361005714</v>
      </c>
      <c r="AR39" s="13">
        <v>0.10232274285714288</v>
      </c>
      <c r="AS39">
        <v>276.78</v>
      </c>
      <c r="AT39" s="13">
        <f>AR39*AS39</f>
        <v>28.320888768000003</v>
      </c>
      <c r="AU39" s="13">
        <v>0.036</v>
      </c>
      <c r="AV39">
        <v>229.68</v>
      </c>
      <c r="AW39" s="13">
        <f>AU39*AV39</f>
        <v>8.26848</v>
      </c>
      <c r="AX39" s="13">
        <f>AL39-AO39-AR39-AU39-BA39</f>
        <v>0.2543888000000005</v>
      </c>
      <c r="AY39" s="8">
        <f t="shared" si="16"/>
        <v>188.5096</v>
      </c>
      <c r="AZ39" s="13">
        <f>AX39*AY39</f>
        <v>47.9547309324801</v>
      </c>
      <c r="BA39" s="13">
        <v>1.132</v>
      </c>
      <c r="BB39" s="8">
        <f t="shared" si="18"/>
        <v>301.462</v>
      </c>
      <c r="BC39" s="13">
        <f>BB39*BA39</f>
        <v>341.254984</v>
      </c>
      <c r="BD39" s="13">
        <v>1.709275714285715</v>
      </c>
      <c r="BE39" s="8">
        <f>BF39/BD39</f>
        <v>225.12662646829358</v>
      </c>
      <c r="BF39" s="13">
        <f>BI39+BL39+BO39+BR39</f>
        <v>384.80347526132584</v>
      </c>
      <c r="BG39" s="13">
        <v>0.4907420571428573</v>
      </c>
      <c r="BH39">
        <v>300.48</v>
      </c>
      <c r="BI39" s="13">
        <f>BG39*BH39</f>
        <v>147.45817333028577</v>
      </c>
      <c r="BJ39" s="13">
        <v>0.07074205714285721</v>
      </c>
      <c r="BK39">
        <v>215.67</v>
      </c>
      <c r="BL39" s="13">
        <f>BJ39*BK39</f>
        <v>15.256939464000013</v>
      </c>
      <c r="BM39" s="13">
        <v>0.9497916000000004</v>
      </c>
      <c r="BN39" s="8">
        <f t="shared" si="23"/>
        <v>183.8444</v>
      </c>
      <c r="BO39" s="13">
        <f>BM39*BN39</f>
        <v>174.61386682704008</v>
      </c>
      <c r="BP39" s="13">
        <v>0.198</v>
      </c>
      <c r="BQ39" s="8">
        <f t="shared" si="25"/>
        <v>239.77018000000004</v>
      </c>
      <c r="BR39" s="13">
        <f>BP39*BQ39</f>
        <v>47.47449564000001</v>
      </c>
    </row>
    <row r="40" spans="1:70" ht="13.5">
      <c r="A40" t="s">
        <v>75</v>
      </c>
      <c r="B40" s="13">
        <v>218.499</v>
      </c>
      <c r="C40" s="30">
        <f>D40/B40</f>
        <v>198.49190918683652</v>
      </c>
      <c r="D40" s="13">
        <f>H40+V40+AN40+BF40</f>
        <v>43370.283665414594</v>
      </c>
      <c r="E40" s="13"/>
      <c r="F40" s="13">
        <v>182.48859</v>
      </c>
      <c r="G40" s="8">
        <v>187.33</v>
      </c>
      <c r="H40" s="13">
        <f>F40*G40</f>
        <v>34185.5875647</v>
      </c>
      <c r="I40" s="13"/>
      <c r="J40" s="8">
        <v>187.33</v>
      </c>
      <c r="K40" s="13"/>
      <c r="L40" s="13"/>
      <c r="M40" s="8">
        <v>187.33</v>
      </c>
      <c r="N40" s="13"/>
      <c r="P40" s="13">
        <f>T40+AL40+BD40</f>
        <v>36.01041</v>
      </c>
      <c r="Q40" s="8">
        <f>R40/P40</f>
        <v>255.05669334824555</v>
      </c>
      <c r="R40" s="13">
        <f>V40+AN40+BF40</f>
        <v>9184.696100714595</v>
      </c>
      <c r="S40" s="13"/>
      <c r="T40" s="13">
        <v>0</v>
      </c>
      <c r="U40" s="8">
        <v>0</v>
      </c>
      <c r="V40" s="13">
        <f>Y40+AB40+AE40+AH40+AK40</f>
        <v>0</v>
      </c>
      <c r="W40" s="13">
        <v>0</v>
      </c>
      <c r="X40">
        <v>0</v>
      </c>
      <c r="Y40">
        <v>0</v>
      </c>
      <c r="Z40" s="13">
        <v>0</v>
      </c>
      <c r="AA40">
        <v>0</v>
      </c>
      <c r="AB40" s="13">
        <f>Z40*AA40</f>
        <v>0</v>
      </c>
      <c r="AC40" s="13">
        <v>0</v>
      </c>
      <c r="AD40">
        <v>0</v>
      </c>
      <c r="AE40">
        <v>0</v>
      </c>
      <c r="AF40" s="13">
        <f>T40-W40-Z40-AC40-AI40</f>
        <v>0</v>
      </c>
      <c r="AG40">
        <v>0</v>
      </c>
      <c r="AH40">
        <v>0</v>
      </c>
      <c r="AI40" s="13">
        <v>0</v>
      </c>
      <c r="AJ40" s="13">
        <v>0</v>
      </c>
      <c r="AK40" s="13">
        <v>0</v>
      </c>
      <c r="AL40" s="13">
        <v>19.15447340425532</v>
      </c>
      <c r="AM40" s="27">
        <f>AN40/AL40</f>
        <v>288.0289929513782</v>
      </c>
      <c r="AN40" s="13">
        <f>AQ40+AT40+AW40+AZ40+BC40</f>
        <v>5517.043685141617</v>
      </c>
      <c r="AO40" s="13">
        <v>5.107357872340426</v>
      </c>
      <c r="AP40">
        <v>385.62</v>
      </c>
      <c r="AQ40" s="13">
        <f>AP40*AO40</f>
        <v>1969.499342731915</v>
      </c>
      <c r="AR40" s="13">
        <v>1.0323578723404256</v>
      </c>
      <c r="AS40">
        <v>276.78</v>
      </c>
      <c r="AT40" s="13">
        <f>AR40*AS40</f>
        <v>285.736011906383</v>
      </c>
      <c r="AU40" s="13">
        <v>0.22499999999999998</v>
      </c>
      <c r="AV40">
        <v>229.68</v>
      </c>
      <c r="AW40" s="13">
        <f>AU40*AV40</f>
        <v>51.678</v>
      </c>
      <c r="AX40" s="13">
        <f>AL40-AO40-AR40-AU40-BA40</f>
        <v>5.71475765957447</v>
      </c>
      <c r="AY40" s="8">
        <f t="shared" si="16"/>
        <v>188.5096</v>
      </c>
      <c r="AZ40" s="13">
        <f>AX40*AY40</f>
        <v>1077.2866805033195</v>
      </c>
      <c r="BA40" s="13">
        <v>7.074999999999999</v>
      </c>
      <c r="BB40" s="8">
        <f t="shared" si="18"/>
        <v>301.462</v>
      </c>
      <c r="BC40" s="13">
        <f>BB40*BA40</f>
        <v>2132.84365</v>
      </c>
      <c r="BD40" s="13">
        <v>16.85593659574468</v>
      </c>
      <c r="BE40" s="8">
        <f>BF40/BD40</f>
        <v>217.58817107195839</v>
      </c>
      <c r="BF40" s="13">
        <f>BI40+BL40+BO40+BR40</f>
        <v>3667.652415572977</v>
      </c>
      <c r="BG40" s="13">
        <v>3.9444749276595745</v>
      </c>
      <c r="BH40">
        <v>300.48</v>
      </c>
      <c r="BI40" s="13">
        <f>BG40*BH40</f>
        <v>1185.235826263149</v>
      </c>
      <c r="BJ40" s="13">
        <v>0.8644749276595745</v>
      </c>
      <c r="BK40">
        <v>215.67</v>
      </c>
      <c r="BL40" s="13">
        <f>BJ40*BK40</f>
        <v>186.4413076483404</v>
      </c>
      <c r="BM40" s="13">
        <v>10.594986740425531</v>
      </c>
      <c r="BN40" s="8">
        <f t="shared" si="23"/>
        <v>183.8444</v>
      </c>
      <c r="BO40" s="13">
        <f>BM40*BN40</f>
        <v>1947.8289803014875</v>
      </c>
      <c r="BP40" s="13">
        <v>1.452</v>
      </c>
      <c r="BQ40" s="8">
        <f t="shared" si="25"/>
        <v>239.77018000000004</v>
      </c>
      <c r="BR40" s="13">
        <f>BP40*BQ40</f>
        <v>348.14630136000005</v>
      </c>
    </row>
    <row r="41" spans="1:70" ht="12">
      <c r="A41" s="6" t="s">
        <v>41</v>
      </c>
      <c r="B41" s="13">
        <f>SUM(B38:B40)</f>
        <v>691.412</v>
      </c>
      <c r="C41" s="8">
        <f>D41/B41</f>
        <v>200.57951354349208</v>
      </c>
      <c r="D41" s="13">
        <f>SUM(D38:D40)</f>
        <v>138683.08261813296</v>
      </c>
      <c r="E41" s="13"/>
      <c r="F41" s="13">
        <f>SUM(F38:F40)</f>
        <v>559.91092</v>
      </c>
      <c r="G41" s="8">
        <f>H41/F41</f>
        <v>187.32999999999998</v>
      </c>
      <c r="H41" s="13">
        <f>SUM(H38:H40)</f>
        <v>104888.1126436</v>
      </c>
      <c r="I41" s="13"/>
      <c r="J41" s="8">
        <v>187.32999999999998</v>
      </c>
      <c r="K41" s="13"/>
      <c r="L41" s="13"/>
      <c r="M41" s="8">
        <v>187.32999999999998</v>
      </c>
      <c r="N41" s="13"/>
      <c r="P41" s="13">
        <f>SUM(P38:P40)</f>
        <v>131.50108</v>
      </c>
      <c r="Q41" s="8">
        <f>R41/P41</f>
        <v>256.9938587160878</v>
      </c>
      <c r="R41" s="13">
        <f>SUM(R38:R40)</f>
        <v>33794.969974532956</v>
      </c>
      <c r="S41" s="13"/>
      <c r="T41" s="13">
        <f>SUM(T38:T40)</f>
        <v>0</v>
      </c>
      <c r="U41" s="8">
        <v>0</v>
      </c>
      <c r="V41" s="13">
        <f>SUM(V38:V40)</f>
        <v>0</v>
      </c>
      <c r="W41" s="13">
        <f>SUM(W38:W40)</f>
        <v>0</v>
      </c>
      <c r="X41">
        <v>0</v>
      </c>
      <c r="Y41" s="13">
        <f>SUM(Y38:Y40)</f>
        <v>0</v>
      </c>
      <c r="Z41" s="13">
        <f>SUM(Z38:Z40)</f>
        <v>0</v>
      </c>
      <c r="AA41">
        <v>0</v>
      </c>
      <c r="AB41" s="13">
        <f>SUM(AB38:AB40)</f>
        <v>0</v>
      </c>
      <c r="AC41" s="13">
        <f>SUM(AC38:AC40)</f>
        <v>0</v>
      </c>
      <c r="AD41">
        <v>0</v>
      </c>
      <c r="AE41" s="13">
        <f>SUM(AE38:AE40)</f>
        <v>0</v>
      </c>
      <c r="AF41" s="13">
        <f>SUM(AF38:AF40)</f>
        <v>0</v>
      </c>
      <c r="AG41">
        <v>0</v>
      </c>
      <c r="AH41" s="13">
        <f>SUM(AH38:AH40)</f>
        <v>0</v>
      </c>
      <c r="AI41" s="13">
        <f>SUM(AI38:AI40)</f>
        <v>0</v>
      </c>
      <c r="AJ41" s="8">
        <v>0</v>
      </c>
      <c r="AK41" s="13">
        <f>SUM(AK38:AK40)</f>
        <v>0</v>
      </c>
      <c r="AL41" s="13">
        <f>SUM(AL38:AL40)</f>
        <v>70.53233500704278</v>
      </c>
      <c r="AM41" s="8">
        <f>AN41/AL41</f>
        <v>290.48046094620395</v>
      </c>
      <c r="AN41" s="13">
        <f>SUM(AN38:AN40)</f>
        <v>20488.26518445786</v>
      </c>
      <c r="AO41" s="13">
        <f>SUM(AO38:AO40)</f>
        <v>19.227586800563422</v>
      </c>
      <c r="AP41" s="8">
        <f>AQ41/AO41</f>
        <v>385.62000000000006</v>
      </c>
      <c r="AQ41" s="13">
        <f>SUM(AQ38:AQ40)</f>
        <v>7414.542022033268</v>
      </c>
      <c r="AR41" s="13">
        <f>SUM(AR38:AR40)</f>
        <v>3.742586800563423</v>
      </c>
      <c r="AS41" s="8">
        <f>AT41/AR41</f>
        <v>276.78</v>
      </c>
      <c r="AT41" s="13">
        <f>SUM(AT38:AT40)</f>
        <v>1035.873174659944</v>
      </c>
      <c r="AU41" s="13">
        <f>SUM(AU38:AU40)</f>
        <v>0.855</v>
      </c>
      <c r="AV41" s="8">
        <f>AW41/AU41</f>
        <v>229.68000000000004</v>
      </c>
      <c r="AW41" s="13">
        <f>SUM(AW38:AW40)</f>
        <v>196.37640000000002</v>
      </c>
      <c r="AX41" s="13">
        <f>SUM(AX38:AX40)</f>
        <v>19.82216140591593</v>
      </c>
      <c r="AY41" s="8">
        <f>AZ41/AX41</f>
        <v>188.5096</v>
      </c>
      <c r="AZ41" s="13">
        <f>SUM(AZ38:AZ40)</f>
        <v>3736.66771776465</v>
      </c>
      <c r="BA41" s="13">
        <f>SUM(BA38:BA40)</f>
        <v>26.884999999999998</v>
      </c>
      <c r="BB41" s="8">
        <f>BC41/BA41</f>
        <v>301.462</v>
      </c>
      <c r="BC41" s="13">
        <f>SUM(BC38:BC40)</f>
        <v>8104.805869999999</v>
      </c>
      <c r="BD41" s="13">
        <f>SUM(BD38:BD40)</f>
        <v>60.96874499295723</v>
      </c>
      <c r="BE41" s="8">
        <f>BF41/BD41</f>
        <v>218.2545301139496</v>
      </c>
      <c r="BF41" s="13">
        <f>SUM(BF38:BF40)</f>
        <v>13306.704790075099</v>
      </c>
      <c r="BG41" s="13">
        <f>SUM(BG38:BG40)</f>
        <v>14.553499599436577</v>
      </c>
      <c r="BH41" s="8">
        <f>BI41/BG41</f>
        <v>300.4800000000001</v>
      </c>
      <c r="BI41" s="13">
        <f>SUM(BI38:BI40)</f>
        <v>4373.0355596387035</v>
      </c>
      <c r="BJ41" s="13">
        <f>SUM(BJ38:BJ40)</f>
        <v>3.073499599436578</v>
      </c>
      <c r="BK41" s="8">
        <f>BL41/BJ41</f>
        <v>215.67</v>
      </c>
      <c r="BL41" s="13">
        <f>SUM(BL38:BL40)</f>
        <v>662.8616586104868</v>
      </c>
      <c r="BM41" s="13">
        <f>SUM(BM38:BM40)</f>
        <v>37.92974579408407</v>
      </c>
      <c r="BN41" s="8">
        <f>BO41/BM41</f>
        <v>183.8444</v>
      </c>
      <c r="BO41" s="13">
        <f>SUM(BO38:BO40)</f>
        <v>6973.171357665909</v>
      </c>
      <c r="BP41" s="13">
        <f>SUM(BP38:BP40)</f>
        <v>5.412</v>
      </c>
      <c r="BQ41" s="8">
        <f>BR41/BP41</f>
        <v>239.77018000000004</v>
      </c>
      <c r="BR41" s="13">
        <f>SUM(BR38:BR40)</f>
        <v>1297.6362141600002</v>
      </c>
    </row>
    <row r="42" spans="2:70" ht="13.5">
      <c r="B42" s="13"/>
      <c r="C42" s="30"/>
      <c r="D42" s="13"/>
      <c r="E42" s="13"/>
      <c r="F42" s="13"/>
      <c r="G42" s="8"/>
      <c r="H42" s="13"/>
      <c r="I42" s="13"/>
      <c r="J42" s="13"/>
      <c r="K42" s="13"/>
      <c r="L42" s="13"/>
      <c r="M42" s="13"/>
      <c r="N42" s="13"/>
      <c r="P42" s="13"/>
      <c r="Q42" s="8"/>
      <c r="R42" s="13"/>
      <c r="S42" s="13"/>
      <c r="T42" s="13"/>
      <c r="U42" s="8"/>
      <c r="V42" s="13"/>
      <c r="W42" s="13"/>
      <c r="Z42" s="13"/>
      <c r="AB42" s="13"/>
      <c r="AC42" s="13"/>
      <c r="AF42" s="13"/>
      <c r="AI42" s="13"/>
      <c r="AJ42" s="13"/>
      <c r="AK42" s="13"/>
      <c r="AL42" s="13"/>
      <c r="AM42" s="27"/>
      <c r="AN42" s="13"/>
      <c r="AO42" s="13"/>
      <c r="AQ42" s="13"/>
      <c r="AR42" s="13"/>
      <c r="AT42" s="13"/>
      <c r="AU42" s="13"/>
      <c r="AW42" s="13"/>
      <c r="AX42" s="13"/>
      <c r="AY42" s="8"/>
      <c r="AZ42" s="13"/>
      <c r="BA42" s="13"/>
      <c r="BB42" s="8"/>
      <c r="BC42" s="13"/>
      <c r="BD42" s="13"/>
      <c r="BE42" s="8"/>
      <c r="BF42" s="13"/>
      <c r="BG42" s="13"/>
      <c r="BI42" s="13"/>
      <c r="BJ42" s="13"/>
      <c r="BL42" s="13"/>
      <c r="BM42" s="13"/>
      <c r="BN42" s="8"/>
      <c r="BO42" s="13"/>
      <c r="BP42" s="13"/>
      <c r="BQ42" s="8"/>
      <c r="BR42" s="13"/>
    </row>
    <row r="43" spans="1:59" ht="12">
      <c r="A43" s="6" t="s">
        <v>92</v>
      </c>
      <c r="BG43" s="24"/>
    </row>
    <row r="44" spans="1:57" ht="12">
      <c r="A44" s="6" t="s">
        <v>94</v>
      </c>
      <c r="BE44" s="24"/>
    </row>
    <row r="45" spans="1:57" ht="12">
      <c r="A45" t="s">
        <v>51</v>
      </c>
      <c r="BE45" s="24"/>
    </row>
    <row r="46" spans="1:57" ht="12">
      <c r="A46" t="s">
        <v>91</v>
      </c>
      <c r="BE46" s="24"/>
    </row>
    <row r="47" spans="1:57" ht="12">
      <c r="A47" s="37" t="s">
        <v>25</v>
      </c>
      <c r="BE47" s="24"/>
    </row>
    <row r="48" spans="1:57" ht="12">
      <c r="A48" s="36" t="s">
        <v>118</v>
      </c>
      <c r="BE48" s="24"/>
    </row>
    <row r="49" spans="1:57" ht="12">
      <c r="A49" t="s">
        <v>119</v>
      </c>
      <c r="BE49" s="24"/>
    </row>
    <row r="50" spans="1:57" ht="12">
      <c r="A50" t="s">
        <v>99</v>
      </c>
      <c r="BE50" s="24"/>
    </row>
    <row r="51" spans="1:57" ht="12">
      <c r="A51" s="66" t="s">
        <v>12</v>
      </c>
      <c r="B51" s="66"/>
      <c r="BE51" s="24"/>
    </row>
    <row r="52" spans="1:57" ht="12">
      <c r="A52" s="6" t="s">
        <v>93</v>
      </c>
      <c r="BE52" s="24"/>
    </row>
    <row r="53" spans="1:57" ht="12">
      <c r="A53" s="79" t="s">
        <v>83</v>
      </c>
      <c r="B53" s="79"/>
      <c r="C53" s="79"/>
      <c r="D53" s="79"/>
      <c r="E53" s="79"/>
      <c r="F53" s="79"/>
      <c r="G53" s="66"/>
      <c r="H53" s="66"/>
      <c r="I53" s="66"/>
      <c r="J53" s="66"/>
      <c r="K53" s="66"/>
      <c r="L53" s="66"/>
      <c r="M53" s="66"/>
      <c r="N53" s="66"/>
      <c r="O53" s="66"/>
      <c r="BE53" s="24"/>
    </row>
    <row r="54" spans="1:57" ht="12.75">
      <c r="A54" s="76" t="s">
        <v>52</v>
      </c>
      <c r="B54" s="80"/>
      <c r="C54" s="80"/>
      <c r="D54" s="80"/>
      <c r="E54" s="80"/>
      <c r="F54" s="80"/>
      <c r="G54" s="80"/>
      <c r="H54" s="80"/>
      <c r="I54" s="80"/>
      <c r="J54" s="80"/>
      <c r="K54" s="80"/>
      <c r="L54" s="80"/>
      <c r="M54" s="80"/>
      <c r="N54" s="80"/>
      <c r="O54" s="80"/>
      <c r="BE54" s="24"/>
    </row>
    <row r="55" spans="1:57" ht="12.75">
      <c r="A55" s="76" t="s">
        <v>100</v>
      </c>
      <c r="B55" s="80"/>
      <c r="C55" s="80"/>
      <c r="D55" s="80"/>
      <c r="E55" s="80"/>
      <c r="F55" s="80"/>
      <c r="G55" s="80"/>
      <c r="H55" s="80"/>
      <c r="I55" s="80"/>
      <c r="J55" s="80"/>
      <c r="K55" s="80"/>
      <c r="L55" s="80"/>
      <c r="M55" s="80"/>
      <c r="N55" s="80"/>
      <c r="O55" s="80"/>
      <c r="P55" s="80"/>
      <c r="BE55" s="24"/>
    </row>
    <row r="56" spans="1:57" ht="12.75">
      <c r="A56" s="76" t="s">
        <v>95</v>
      </c>
      <c r="B56" s="66"/>
      <c r="C56" s="66"/>
      <c r="D56" s="66"/>
      <c r="E56" s="66"/>
      <c r="F56" s="66"/>
      <c r="G56" s="66"/>
      <c r="H56" s="66"/>
      <c r="I56" s="66"/>
      <c r="J56" s="66"/>
      <c r="K56" s="66"/>
      <c r="L56" s="66"/>
      <c r="M56" s="66"/>
      <c r="N56" s="66"/>
      <c r="O56" s="66"/>
      <c r="P56" s="66"/>
      <c r="BE56" s="24"/>
    </row>
    <row r="57" spans="1:57" ht="12.75">
      <c r="A57" s="76" t="s">
        <v>144</v>
      </c>
      <c r="B57" s="66"/>
      <c r="C57" s="66"/>
      <c r="D57" s="66"/>
      <c r="E57" s="66"/>
      <c r="F57" s="66"/>
      <c r="G57" s="66"/>
      <c r="H57" s="66"/>
      <c r="I57" s="66"/>
      <c r="J57" s="66"/>
      <c r="K57" s="66"/>
      <c r="L57" s="66"/>
      <c r="M57" s="66"/>
      <c r="N57" s="66"/>
      <c r="O57" s="66"/>
      <c r="P57" s="7"/>
      <c r="BE57" s="24"/>
    </row>
    <row r="58" spans="1:57" ht="42">
      <c r="A58" s="48" t="s">
        <v>32</v>
      </c>
      <c r="B58" s="24"/>
      <c r="C58" s="24"/>
      <c r="D58" s="24"/>
      <c r="E58" s="24"/>
      <c r="F58" s="24"/>
      <c r="G58" s="24"/>
      <c r="H58" s="24"/>
      <c r="I58" s="24"/>
      <c r="J58" s="24"/>
      <c r="K58" s="24"/>
      <c r="L58" s="24"/>
      <c r="M58" s="24"/>
      <c r="N58" s="24"/>
      <c r="O58" s="24"/>
      <c r="P58" s="7"/>
      <c r="BE58" s="24"/>
    </row>
    <row r="59" spans="1:57" ht="12.75">
      <c r="A59" s="76" t="s">
        <v>26</v>
      </c>
      <c r="B59" s="66"/>
      <c r="C59" s="66"/>
      <c r="D59" s="66"/>
      <c r="E59" s="66"/>
      <c r="F59" s="66"/>
      <c r="G59" s="66"/>
      <c r="H59" s="66"/>
      <c r="I59" s="66"/>
      <c r="J59" s="66"/>
      <c r="K59" s="66"/>
      <c r="L59" s="66"/>
      <c r="M59" s="66"/>
      <c r="N59" s="66"/>
      <c r="O59" s="66"/>
      <c r="P59" s="7"/>
      <c r="BE59" s="24"/>
    </row>
    <row r="60" spans="1:57" ht="12.75">
      <c r="A60" s="76" t="s">
        <v>135</v>
      </c>
      <c r="B60" s="66"/>
      <c r="C60" s="66"/>
      <c r="D60" s="66"/>
      <c r="E60" s="66"/>
      <c r="F60" s="66"/>
      <c r="G60" s="66"/>
      <c r="H60" s="66"/>
      <c r="I60" s="66"/>
      <c r="J60" s="66"/>
      <c r="K60" s="66"/>
      <c r="L60" s="66"/>
      <c r="M60" s="66"/>
      <c r="N60" s="66"/>
      <c r="O60" s="66"/>
      <c r="P60" s="7"/>
      <c r="BE60" s="24"/>
    </row>
    <row r="61" spans="1:57" ht="12.75">
      <c r="A61" s="76" t="s">
        <v>27</v>
      </c>
      <c r="B61" s="66"/>
      <c r="C61" s="66"/>
      <c r="D61" s="66"/>
      <c r="E61" s="66"/>
      <c r="F61" s="66"/>
      <c r="G61" s="66"/>
      <c r="H61" s="66"/>
      <c r="I61" s="66"/>
      <c r="J61" s="66"/>
      <c r="K61" s="66"/>
      <c r="L61" s="66"/>
      <c r="M61" s="66"/>
      <c r="N61" s="66"/>
      <c r="O61" s="66"/>
      <c r="P61" s="7"/>
      <c r="BE61" s="24"/>
    </row>
    <row r="62" spans="1:57" ht="13.5">
      <c r="A62" s="21" t="s">
        <v>11</v>
      </c>
      <c r="B62" s="7"/>
      <c r="C62" s="15"/>
      <c r="D62" s="7"/>
      <c r="E62" s="7"/>
      <c r="F62" s="7"/>
      <c r="G62" s="7"/>
      <c r="H62" s="7"/>
      <c r="I62" s="7"/>
      <c r="J62" s="7"/>
      <c r="K62" s="7"/>
      <c r="L62" s="7"/>
      <c r="M62" s="7"/>
      <c r="N62" s="7"/>
      <c r="O62" s="7"/>
      <c r="P62" s="7"/>
      <c r="BE62" s="24"/>
    </row>
    <row r="63" spans="1:57" ht="12.75">
      <c r="A63" s="76" t="s">
        <v>101</v>
      </c>
      <c r="B63" s="78"/>
      <c r="C63" s="78"/>
      <c r="D63" s="78"/>
      <c r="E63" s="78"/>
      <c r="F63" s="78"/>
      <c r="G63" s="66"/>
      <c r="H63" s="66"/>
      <c r="I63" s="66"/>
      <c r="J63" s="66"/>
      <c r="K63" s="66"/>
      <c r="L63" s="66"/>
      <c r="M63" s="66"/>
      <c r="N63" s="66"/>
      <c r="O63" s="66"/>
      <c r="P63" s="66"/>
      <c r="BE63" s="24"/>
    </row>
    <row r="64" spans="1:57" ht="42">
      <c r="A64" s="48" t="s">
        <v>145</v>
      </c>
      <c r="B64" s="26"/>
      <c r="C64" s="26"/>
      <c r="D64" s="26"/>
      <c r="E64" s="26"/>
      <c r="F64" s="26"/>
      <c r="G64" s="24"/>
      <c r="H64" s="24"/>
      <c r="I64" s="24"/>
      <c r="J64" s="24"/>
      <c r="K64" s="24"/>
      <c r="L64" s="24"/>
      <c r="M64" s="24"/>
      <c r="N64" s="24"/>
      <c r="O64" s="24"/>
      <c r="P64" s="24"/>
      <c r="BE64" s="24"/>
    </row>
    <row r="65" spans="1:57" ht="12.75">
      <c r="A65" s="75" t="s">
        <v>14</v>
      </c>
      <c r="B65" s="78"/>
      <c r="C65" s="78"/>
      <c r="D65" s="78"/>
      <c r="E65" s="78"/>
      <c r="F65" s="78"/>
      <c r="G65" s="78"/>
      <c r="H65" s="78"/>
      <c r="I65" s="78"/>
      <c r="J65" s="78"/>
      <c r="K65" s="78"/>
      <c r="L65" s="78"/>
      <c r="M65" s="78"/>
      <c r="N65" s="78"/>
      <c r="O65" s="78"/>
      <c r="P65" s="7"/>
      <c r="BE65" s="24"/>
    </row>
    <row r="66" spans="1:57" ht="12.75">
      <c r="A66" s="76" t="s">
        <v>146</v>
      </c>
      <c r="B66" s="66"/>
      <c r="C66" s="66"/>
      <c r="D66" s="66"/>
      <c r="E66" s="66"/>
      <c r="F66" s="66"/>
      <c r="G66" s="66"/>
      <c r="H66" s="66"/>
      <c r="I66" s="66"/>
      <c r="J66" s="66"/>
      <c r="K66" s="66"/>
      <c r="L66" s="66"/>
      <c r="M66" s="66"/>
      <c r="N66" s="66"/>
      <c r="O66" s="66"/>
      <c r="P66" s="7"/>
      <c r="BE66" s="24"/>
    </row>
    <row r="67" spans="1:57" ht="84">
      <c r="A67" s="48" t="s">
        <v>169</v>
      </c>
      <c r="B67" s="24"/>
      <c r="C67" s="24"/>
      <c r="D67" s="24"/>
      <c r="E67" s="24"/>
      <c r="F67" s="24"/>
      <c r="G67" s="24"/>
      <c r="H67" s="24"/>
      <c r="I67" s="24"/>
      <c r="J67" s="24"/>
      <c r="K67" s="24"/>
      <c r="L67" s="24"/>
      <c r="M67" s="24"/>
      <c r="N67" s="24"/>
      <c r="O67" s="24"/>
      <c r="P67" s="7"/>
      <c r="BE67" s="24"/>
    </row>
    <row r="68" spans="1:57" ht="12.75">
      <c r="A68" s="76" t="s">
        <v>45</v>
      </c>
      <c r="B68" s="66"/>
      <c r="C68" s="66"/>
      <c r="D68" s="66"/>
      <c r="E68" s="66"/>
      <c r="F68" s="66"/>
      <c r="G68" s="66"/>
      <c r="H68" s="66"/>
      <c r="I68" s="66"/>
      <c r="J68" s="66"/>
      <c r="K68" s="66"/>
      <c r="L68" s="66"/>
      <c r="M68" s="66"/>
      <c r="N68" s="66"/>
      <c r="O68" s="66"/>
      <c r="P68" s="7"/>
      <c r="BE68" s="24"/>
    </row>
    <row r="69" spans="1:57" ht="12.75">
      <c r="A69" s="77" t="s">
        <v>46</v>
      </c>
      <c r="B69" s="66"/>
      <c r="C69" s="66"/>
      <c r="D69" s="66"/>
      <c r="E69" s="66"/>
      <c r="F69" s="66"/>
      <c r="G69" s="66"/>
      <c r="H69" s="66"/>
      <c r="I69" s="66"/>
      <c r="J69" s="66"/>
      <c r="K69" s="66"/>
      <c r="L69" s="66"/>
      <c r="M69" s="66"/>
      <c r="N69" s="66"/>
      <c r="O69" s="66"/>
      <c r="P69" s="7"/>
      <c r="BE69" s="24"/>
    </row>
    <row r="70" spans="1:57" ht="13.5">
      <c r="A70" s="21" t="s">
        <v>13</v>
      </c>
      <c r="B70" s="26"/>
      <c r="C70" s="26"/>
      <c r="D70" s="26"/>
      <c r="E70" s="26"/>
      <c r="F70" s="26"/>
      <c r="G70" s="26"/>
      <c r="H70" s="26"/>
      <c r="I70" s="26"/>
      <c r="J70" s="26"/>
      <c r="K70" s="26"/>
      <c r="L70" s="26"/>
      <c r="M70" s="26"/>
      <c r="N70" s="26"/>
      <c r="O70" s="26"/>
      <c r="P70" s="7"/>
      <c r="BE70" s="24"/>
    </row>
    <row r="71" spans="1:57" ht="12.75">
      <c r="A71" s="76" t="s">
        <v>170</v>
      </c>
      <c r="B71" s="66"/>
      <c r="C71" s="66"/>
      <c r="D71" s="66"/>
      <c r="E71" s="66"/>
      <c r="F71" s="66"/>
      <c r="G71" s="66"/>
      <c r="H71" s="66"/>
      <c r="I71" s="66"/>
      <c r="J71" s="66"/>
      <c r="K71" s="66"/>
      <c r="L71" s="66"/>
      <c r="M71" s="66"/>
      <c r="N71" s="66"/>
      <c r="O71" s="66"/>
      <c r="P71" s="7"/>
      <c r="BE71" s="24"/>
    </row>
    <row r="72" spans="1:57" ht="13.5">
      <c r="A72" s="48" t="s">
        <v>171</v>
      </c>
      <c r="B72" s="24"/>
      <c r="C72" s="24"/>
      <c r="D72" s="24"/>
      <c r="E72" s="24"/>
      <c r="F72" s="24"/>
      <c r="G72" s="24"/>
      <c r="H72" s="24"/>
      <c r="I72" s="24"/>
      <c r="J72" s="24"/>
      <c r="K72" s="24"/>
      <c r="L72" s="24"/>
      <c r="M72" s="24"/>
      <c r="N72" s="24"/>
      <c r="O72" s="24"/>
      <c r="P72" s="7"/>
      <c r="BE72" s="24"/>
    </row>
    <row r="73" spans="1:57" ht="12.75">
      <c r="A73" s="76" t="s">
        <v>172</v>
      </c>
      <c r="B73" s="66"/>
      <c r="C73" s="66"/>
      <c r="D73" s="66"/>
      <c r="E73" s="66"/>
      <c r="F73" s="66"/>
      <c r="G73" s="66"/>
      <c r="H73" s="66"/>
      <c r="I73" s="66"/>
      <c r="J73" s="66"/>
      <c r="K73" s="66"/>
      <c r="L73" s="66"/>
      <c r="M73" s="66"/>
      <c r="N73" s="66"/>
      <c r="O73" s="66"/>
      <c r="P73" s="7"/>
      <c r="BE73" s="24"/>
    </row>
    <row r="74" spans="1:57" ht="12.75">
      <c r="A74" s="76" t="s">
        <v>47</v>
      </c>
      <c r="B74" s="66"/>
      <c r="C74" s="66"/>
      <c r="D74" s="66"/>
      <c r="E74" s="66"/>
      <c r="F74" s="66"/>
      <c r="G74" s="66"/>
      <c r="H74" s="66"/>
      <c r="I74" s="66"/>
      <c r="J74" s="66"/>
      <c r="K74" s="66"/>
      <c r="L74" s="66"/>
      <c r="M74" s="66"/>
      <c r="N74" s="66"/>
      <c r="O74" s="66"/>
      <c r="P74" s="7"/>
      <c r="BE74" s="24"/>
    </row>
    <row r="75" spans="1:57" ht="12.75">
      <c r="A75" s="76" t="s">
        <v>147</v>
      </c>
      <c r="B75" s="66"/>
      <c r="C75" s="66"/>
      <c r="D75" s="66"/>
      <c r="E75" s="66"/>
      <c r="F75" s="66"/>
      <c r="G75" s="66"/>
      <c r="H75" s="66"/>
      <c r="I75" s="66"/>
      <c r="J75" s="66"/>
      <c r="K75" s="66"/>
      <c r="L75" s="66"/>
      <c r="M75" s="66"/>
      <c r="N75" s="66"/>
      <c r="O75" s="66"/>
      <c r="P75" s="7"/>
      <c r="BE75" s="24"/>
    </row>
    <row r="76" spans="1:57" ht="12.75">
      <c r="A76" s="75" t="s">
        <v>15</v>
      </c>
      <c r="B76" s="66"/>
      <c r="C76" s="66"/>
      <c r="D76" s="66"/>
      <c r="E76" s="66"/>
      <c r="F76" s="66"/>
      <c r="G76" s="66"/>
      <c r="H76" s="66"/>
      <c r="I76" s="66"/>
      <c r="J76" s="66"/>
      <c r="K76" s="66"/>
      <c r="L76" s="66"/>
      <c r="M76" s="66"/>
      <c r="N76" s="66"/>
      <c r="O76" s="66"/>
      <c r="P76" s="7"/>
      <c r="BE76" s="24"/>
    </row>
    <row r="77" spans="1:57" ht="12.75">
      <c r="A77" s="76" t="s">
        <v>148</v>
      </c>
      <c r="B77" s="66"/>
      <c r="C77" s="66"/>
      <c r="D77" s="66"/>
      <c r="E77" s="66"/>
      <c r="F77" s="66"/>
      <c r="G77" s="66"/>
      <c r="H77" s="66"/>
      <c r="I77" s="66"/>
      <c r="J77" s="66"/>
      <c r="K77" s="66"/>
      <c r="L77" s="66"/>
      <c r="M77" s="66"/>
      <c r="N77" s="66"/>
      <c r="O77" s="66"/>
      <c r="P77" s="7"/>
      <c r="BE77" s="24"/>
    </row>
  </sheetData>
  <sheetProtection/>
  <mergeCells count="92">
    <mergeCell ref="P6:P7"/>
    <mergeCell ref="BD6:BD7"/>
    <mergeCell ref="BN6:BO6"/>
    <mergeCell ref="BA6:BA7"/>
    <mergeCell ref="BB6:BC6"/>
    <mergeCell ref="AU6:AU7"/>
    <mergeCell ref="AV6:AW6"/>
    <mergeCell ref="AR6:AR7"/>
    <mergeCell ref="AS6:AT6"/>
    <mergeCell ref="AX6:AX7"/>
    <mergeCell ref="BP6:BP7"/>
    <mergeCell ref="BQ6:BR6"/>
    <mergeCell ref="BE6:BF6"/>
    <mergeCell ref="BG6:BG7"/>
    <mergeCell ref="BH6:BI6"/>
    <mergeCell ref="BJ6:BJ7"/>
    <mergeCell ref="BK6:BL6"/>
    <mergeCell ref="BM6:BM7"/>
    <mergeCell ref="AY6:AZ6"/>
    <mergeCell ref="AF6:AF7"/>
    <mergeCell ref="AG6:AH6"/>
    <mergeCell ref="AL6:AL7"/>
    <mergeCell ref="AM6:AN6"/>
    <mergeCell ref="AO6:AO7"/>
    <mergeCell ref="AP6:AQ6"/>
    <mergeCell ref="BM5:BO5"/>
    <mergeCell ref="BP5:BR5"/>
    <mergeCell ref="B6:B7"/>
    <mergeCell ref="C6:D6"/>
    <mergeCell ref="F6:F7"/>
    <mergeCell ref="G6:H6"/>
    <mergeCell ref="T6:T7"/>
    <mergeCell ref="U6:V6"/>
    <mergeCell ref="Z6:Z7"/>
    <mergeCell ref="AA6:AB6"/>
    <mergeCell ref="W6:W7"/>
    <mergeCell ref="X6:Y6"/>
    <mergeCell ref="AU5:AW5"/>
    <mergeCell ref="AX5:AZ5"/>
    <mergeCell ref="BA5:BC5"/>
    <mergeCell ref="BD5:BF5"/>
    <mergeCell ref="AI6:AI7"/>
    <mergeCell ref="AJ6:AK6"/>
    <mergeCell ref="AC6:AC7"/>
    <mergeCell ref="AD6:AE6"/>
    <mergeCell ref="BJ5:BL5"/>
    <mergeCell ref="AC5:AE5"/>
    <mergeCell ref="AF5:AH5"/>
    <mergeCell ref="AI5:AK5"/>
    <mergeCell ref="AL5:AN5"/>
    <mergeCell ref="AO5:AQ5"/>
    <mergeCell ref="AR5:AT5"/>
    <mergeCell ref="Q6:R6"/>
    <mergeCell ref="B4:D4"/>
    <mergeCell ref="T4:AK4"/>
    <mergeCell ref="AL4:BC4"/>
    <mergeCell ref="BD4:BR4"/>
    <mergeCell ref="P4:R4"/>
    <mergeCell ref="T5:V5"/>
    <mergeCell ref="W5:Y5"/>
    <mergeCell ref="Z5:AB5"/>
    <mergeCell ref="BG5:BI5"/>
    <mergeCell ref="A51:B51"/>
    <mergeCell ref="A53:O53"/>
    <mergeCell ref="A54:O54"/>
    <mergeCell ref="A55:P55"/>
    <mergeCell ref="A56:P56"/>
    <mergeCell ref="A57:O57"/>
    <mergeCell ref="A59:O59"/>
    <mergeCell ref="A60:O60"/>
    <mergeCell ref="A61:O61"/>
    <mergeCell ref="A63:P63"/>
    <mergeCell ref="A65:O65"/>
    <mergeCell ref="A66:O66"/>
    <mergeCell ref="A76:O76"/>
    <mergeCell ref="A77:O77"/>
    <mergeCell ref="A68:O68"/>
    <mergeCell ref="A69:O69"/>
    <mergeCell ref="A71:O71"/>
    <mergeCell ref="A73:O73"/>
    <mergeCell ref="A74:O74"/>
    <mergeCell ref="A75:O75"/>
    <mergeCell ref="BT5:BX5"/>
    <mergeCell ref="BT6:BX6"/>
    <mergeCell ref="F4:N4"/>
    <mergeCell ref="F5:H5"/>
    <mergeCell ref="I5:K5"/>
    <mergeCell ref="I6:I7"/>
    <mergeCell ref="J6:K6"/>
    <mergeCell ref="L5:N5"/>
    <mergeCell ref="L6:L7"/>
    <mergeCell ref="M6:N6"/>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P106"/>
  <sheetViews>
    <sheetView zoomScale="125" zoomScaleNormal="125" zoomScalePageLayoutView="0" workbookViewId="0" topLeftCell="A1">
      <pane xSplit="16780" ySplit="4480" topLeftCell="A27" activePane="topLeft" state="split"/>
      <selection pane="topLeft" activeCell="A4" sqref="A4"/>
      <selection pane="topRight" activeCell="C1" sqref="C1"/>
      <selection pane="bottomLeft" activeCell="C32" sqref="C32:C33"/>
      <selection pane="bottomRight" activeCell="C33" sqref="C33"/>
    </sheetView>
  </sheetViews>
  <sheetFormatPr defaultColWidth="8.8515625" defaultRowHeight="12.75"/>
  <cols>
    <col min="1" max="1" width="33.421875" style="0" customWidth="1"/>
    <col min="2" max="2" width="14.28125" style="0" customWidth="1"/>
    <col min="3" max="3" width="12.421875" style="0" customWidth="1"/>
    <col min="4" max="5" width="10.28125" style="0" customWidth="1"/>
    <col min="6" max="6" width="12.8515625" style="0" customWidth="1"/>
    <col min="7" max="7" width="13.421875" style="0" customWidth="1"/>
    <col min="8" max="8" width="11.00390625" style="0" customWidth="1"/>
    <col min="9" max="9" width="7.7109375" style="0" customWidth="1"/>
    <col min="10" max="13" width="12.28125" style="0" customWidth="1"/>
    <col min="14" max="14" width="13.00390625" style="0" customWidth="1"/>
    <col min="15" max="25" width="12.28125" style="0" customWidth="1"/>
    <col min="26" max="26" width="13.140625" style="0" customWidth="1"/>
    <col min="27" max="27" width="12.421875" style="0" customWidth="1"/>
    <col min="28" max="28" width="13.140625" style="0" customWidth="1"/>
    <col min="29" max="29" width="11.421875" style="0" customWidth="1"/>
    <col min="30" max="30" width="13.8515625" style="0" customWidth="1"/>
    <col min="31" max="31" width="14.00390625" style="0" customWidth="1"/>
    <col min="32" max="32" width="14.28125" style="0" customWidth="1"/>
    <col min="33" max="33" width="12.421875" style="0" customWidth="1"/>
    <col min="34" max="34" width="11.421875" style="0" customWidth="1"/>
    <col min="35" max="35" width="13.421875" style="0" customWidth="1"/>
    <col min="36" max="36" width="11.7109375" style="0" customWidth="1"/>
    <col min="37" max="37" width="11.421875" style="0" customWidth="1"/>
    <col min="40" max="40" width="10.7109375" style="0" bestFit="1" customWidth="1"/>
    <col min="41" max="41" width="11.28125" style="24" customWidth="1"/>
    <col min="43" max="43" width="10.7109375" style="0" bestFit="1" customWidth="1"/>
    <col min="49" max="49" width="10.7109375" style="0" bestFit="1" customWidth="1"/>
  </cols>
  <sheetData>
    <row r="1" ht="16.5">
      <c r="A1" s="5" t="s">
        <v>78</v>
      </c>
    </row>
    <row r="2" ht="18">
      <c r="A2" s="35" t="s">
        <v>108</v>
      </c>
    </row>
    <row r="3" spans="1:94" ht="13.5">
      <c r="A3" s="16"/>
      <c r="E3" s="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3"/>
      <c r="AK3" s="74"/>
      <c r="AL3" s="74"/>
      <c r="AM3" s="74"/>
      <c r="AN3" s="74"/>
      <c r="AO3" s="2"/>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1:94" ht="13.5">
      <c r="A4" s="1"/>
      <c r="B4" s="72" t="s">
        <v>34</v>
      </c>
      <c r="C4" s="72"/>
      <c r="D4" s="72"/>
      <c r="E4" s="2"/>
      <c r="F4" s="72" t="s">
        <v>35</v>
      </c>
      <c r="G4" s="72"/>
      <c r="H4" s="72"/>
      <c r="J4" s="72" t="s">
        <v>36</v>
      </c>
      <c r="K4" s="66"/>
      <c r="L4" s="66"/>
      <c r="M4" s="24"/>
      <c r="N4" s="72" t="s">
        <v>24</v>
      </c>
      <c r="O4" s="72"/>
      <c r="P4" s="72"/>
      <c r="Q4" s="73"/>
      <c r="R4" s="73"/>
      <c r="S4" s="73"/>
      <c r="T4" s="73"/>
      <c r="U4" s="73"/>
      <c r="V4" s="73"/>
      <c r="W4" s="73"/>
      <c r="X4" s="73"/>
      <c r="Y4" s="73"/>
      <c r="Z4" s="72" t="s">
        <v>23</v>
      </c>
      <c r="AA4" s="73"/>
      <c r="AB4" s="73"/>
      <c r="AC4" s="73"/>
      <c r="AD4" s="73"/>
      <c r="AE4" s="73"/>
      <c r="AF4" s="73"/>
      <c r="AG4" s="73"/>
      <c r="AH4" s="73"/>
      <c r="AI4" s="73"/>
      <c r="AJ4" s="66"/>
      <c r="AK4" s="66"/>
      <c r="AL4" s="72" t="s">
        <v>22</v>
      </c>
      <c r="AM4" s="72"/>
      <c r="AN4" s="72"/>
      <c r="AO4" s="66"/>
      <c r="AP4" s="66"/>
      <c r="AQ4" s="66"/>
      <c r="AR4" s="66"/>
      <c r="AS4" s="66"/>
      <c r="AT4" s="66"/>
      <c r="AU4" s="66"/>
      <c r="AV4" s="66"/>
      <c r="AW4" s="66"/>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1:94" ht="15" customHeight="1">
      <c r="A5" s="1"/>
      <c r="B5" s="2"/>
      <c r="C5" s="2"/>
      <c r="D5" s="2"/>
      <c r="E5" s="2"/>
      <c r="N5" s="72" t="s">
        <v>84</v>
      </c>
      <c r="O5" s="72"/>
      <c r="P5" s="72"/>
      <c r="Q5" s="72" t="s">
        <v>85</v>
      </c>
      <c r="R5" s="72"/>
      <c r="S5" s="72"/>
      <c r="T5" s="72" t="s">
        <v>86</v>
      </c>
      <c r="U5" s="72"/>
      <c r="V5" s="72"/>
      <c r="W5" s="72" t="s">
        <v>88</v>
      </c>
      <c r="X5" s="72"/>
      <c r="Y5" s="72"/>
      <c r="Z5" s="72" t="s">
        <v>84</v>
      </c>
      <c r="AA5" s="72"/>
      <c r="AB5" s="72"/>
      <c r="AC5" s="72" t="s">
        <v>85</v>
      </c>
      <c r="AD5" s="72"/>
      <c r="AE5" s="72"/>
      <c r="AF5" s="72" t="s">
        <v>86</v>
      </c>
      <c r="AG5" s="72"/>
      <c r="AH5" s="72"/>
      <c r="AI5" s="72" t="s">
        <v>88</v>
      </c>
      <c r="AJ5" s="72"/>
      <c r="AK5" s="72"/>
      <c r="AL5" s="72" t="s">
        <v>84</v>
      </c>
      <c r="AM5" s="72"/>
      <c r="AN5" s="72"/>
      <c r="AO5" s="72" t="s">
        <v>85</v>
      </c>
      <c r="AP5" s="72"/>
      <c r="AQ5" s="72"/>
      <c r="AR5" s="72" t="s">
        <v>86</v>
      </c>
      <c r="AS5" s="72"/>
      <c r="AT5" s="72"/>
      <c r="AU5" s="72" t="s">
        <v>88</v>
      </c>
      <c r="AV5" s="72"/>
      <c r="AW5" s="72"/>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1:94" ht="15" customHeight="1">
      <c r="A6" s="1"/>
      <c r="B6" s="72" t="s">
        <v>82</v>
      </c>
      <c r="C6" s="72" t="s">
        <v>79</v>
      </c>
      <c r="D6" s="72"/>
      <c r="E6" s="2"/>
      <c r="F6" s="72" t="s">
        <v>21</v>
      </c>
      <c r="G6" s="72" t="s">
        <v>79</v>
      </c>
      <c r="H6" s="72"/>
      <c r="K6" s="72" t="s">
        <v>79</v>
      </c>
      <c r="L6" s="72"/>
      <c r="M6" s="2"/>
      <c r="N6" s="72" t="s">
        <v>82</v>
      </c>
      <c r="O6" s="72" t="s">
        <v>79</v>
      </c>
      <c r="P6" s="72"/>
      <c r="Q6" s="72" t="s">
        <v>82</v>
      </c>
      <c r="R6" s="72" t="s">
        <v>79</v>
      </c>
      <c r="S6" s="72"/>
      <c r="T6" s="72" t="s">
        <v>82</v>
      </c>
      <c r="U6" s="72" t="s">
        <v>79</v>
      </c>
      <c r="V6" s="72"/>
      <c r="W6" s="72" t="s">
        <v>82</v>
      </c>
      <c r="X6" s="72" t="s">
        <v>79</v>
      </c>
      <c r="Y6" s="72"/>
      <c r="Z6" s="72" t="s">
        <v>82</v>
      </c>
      <c r="AA6" s="72" t="s">
        <v>79</v>
      </c>
      <c r="AB6" s="72"/>
      <c r="AC6" s="72" t="s">
        <v>82</v>
      </c>
      <c r="AD6" s="72" t="s">
        <v>79</v>
      </c>
      <c r="AE6" s="72"/>
      <c r="AF6" s="72" t="s">
        <v>82</v>
      </c>
      <c r="AG6" s="72" t="s">
        <v>79</v>
      </c>
      <c r="AH6" s="72"/>
      <c r="AI6" s="72" t="s">
        <v>82</v>
      </c>
      <c r="AJ6" s="72" t="s">
        <v>79</v>
      </c>
      <c r="AK6" s="72"/>
      <c r="AL6" s="72" t="s">
        <v>82</v>
      </c>
      <c r="AM6" s="72" t="s">
        <v>79</v>
      </c>
      <c r="AN6" s="72"/>
      <c r="AO6" s="72" t="s">
        <v>82</v>
      </c>
      <c r="AP6" s="72" t="s">
        <v>79</v>
      </c>
      <c r="AQ6" s="72"/>
      <c r="AR6" s="72" t="s">
        <v>82</v>
      </c>
      <c r="AS6" s="72" t="s">
        <v>79</v>
      </c>
      <c r="AT6" s="72"/>
      <c r="AU6" s="72" t="s">
        <v>82</v>
      </c>
      <c r="AV6" s="72" t="s">
        <v>79</v>
      </c>
      <c r="AW6" s="72"/>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ht="27.75">
      <c r="A7" s="1" t="s">
        <v>55</v>
      </c>
      <c r="B7" s="74"/>
      <c r="C7" s="2" t="s">
        <v>80</v>
      </c>
      <c r="D7" s="2" t="s">
        <v>81</v>
      </c>
      <c r="E7" s="2"/>
      <c r="F7" s="74"/>
      <c r="G7" s="2" t="s">
        <v>80</v>
      </c>
      <c r="H7" s="2" t="s">
        <v>81</v>
      </c>
      <c r="J7" s="2" t="s">
        <v>82</v>
      </c>
      <c r="K7" s="2" t="s">
        <v>80</v>
      </c>
      <c r="L7" s="2" t="s">
        <v>81</v>
      </c>
      <c r="M7" s="2"/>
      <c r="N7" s="74"/>
      <c r="O7" s="2" t="s">
        <v>80</v>
      </c>
      <c r="P7" s="2" t="s">
        <v>81</v>
      </c>
      <c r="Q7" s="74"/>
      <c r="R7" s="2" t="s">
        <v>80</v>
      </c>
      <c r="S7" s="2" t="s">
        <v>81</v>
      </c>
      <c r="T7" s="74"/>
      <c r="U7" s="2" t="s">
        <v>80</v>
      </c>
      <c r="V7" s="2" t="s">
        <v>81</v>
      </c>
      <c r="W7" s="74"/>
      <c r="X7" s="2" t="s">
        <v>80</v>
      </c>
      <c r="Y7" s="2" t="s">
        <v>81</v>
      </c>
      <c r="Z7" s="74"/>
      <c r="AA7" s="2" t="s">
        <v>80</v>
      </c>
      <c r="AB7" s="2" t="s">
        <v>81</v>
      </c>
      <c r="AC7" s="74"/>
      <c r="AD7" s="2" t="s">
        <v>80</v>
      </c>
      <c r="AE7" s="2" t="s">
        <v>81</v>
      </c>
      <c r="AF7" s="74"/>
      <c r="AG7" s="2" t="s">
        <v>80</v>
      </c>
      <c r="AH7" s="2" t="s">
        <v>81</v>
      </c>
      <c r="AI7" s="74"/>
      <c r="AJ7" s="2" t="s">
        <v>80</v>
      </c>
      <c r="AK7" s="2" t="s">
        <v>81</v>
      </c>
      <c r="AL7" s="74"/>
      <c r="AM7" s="2" t="s">
        <v>80</v>
      </c>
      <c r="AN7" s="2" t="s">
        <v>81</v>
      </c>
      <c r="AO7" s="74"/>
      <c r="AP7" s="2" t="s">
        <v>80</v>
      </c>
      <c r="AQ7" s="2" t="s">
        <v>81</v>
      </c>
      <c r="AR7" s="74"/>
      <c r="AS7" s="2" t="s">
        <v>80</v>
      </c>
      <c r="AT7" s="2" t="s">
        <v>81</v>
      </c>
      <c r="AU7" s="74"/>
      <c r="AV7" s="2" t="s">
        <v>80</v>
      </c>
      <c r="AW7" s="2" t="s">
        <v>81</v>
      </c>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49" ht="13.5">
      <c r="A8" t="s">
        <v>56</v>
      </c>
      <c r="B8" s="13">
        <v>578.7</v>
      </c>
      <c r="C8" s="30">
        <f>D8/B8</f>
        <v>85.72057965067452</v>
      </c>
      <c r="D8" s="13">
        <f aca="true" t="shared" si="0" ref="D8:D14">H8+P8+AB8+AN8</f>
        <v>49606.49944384535</v>
      </c>
      <c r="E8" s="13"/>
      <c r="F8" s="13">
        <v>410.646</v>
      </c>
      <c r="G8" s="8">
        <f>0.401*'(2) Free LF earnings 1800'!G8</f>
        <v>82.6461</v>
      </c>
      <c r="H8" s="13">
        <f>F8*G8</f>
        <v>33938.2903806</v>
      </c>
      <c r="J8" s="13">
        <v>168.05400000000003</v>
      </c>
      <c r="K8" s="8">
        <f>L8/J8</f>
        <v>93.23318137768422</v>
      </c>
      <c r="L8" s="13">
        <f>D8-H8</f>
        <v>15668.209063245347</v>
      </c>
      <c r="M8" s="13"/>
      <c r="N8" s="13">
        <v>0</v>
      </c>
      <c r="O8" s="8">
        <v>0</v>
      </c>
      <c r="P8" s="13">
        <f>S8+V8+Y8</f>
        <v>0</v>
      </c>
      <c r="Q8">
        <f>0.16*N8*0.5</f>
        <v>0</v>
      </c>
      <c r="R8" s="8">
        <f>0.523*'(2) Free LF earnings 1800'!X8</f>
        <v>0</v>
      </c>
      <c r="S8">
        <f>Q8*R8</f>
        <v>0</v>
      </c>
      <c r="T8">
        <f>0.16*N8*0.5</f>
        <v>0</v>
      </c>
      <c r="U8" s="8">
        <f>0.523*'(2) Free LF earnings 1800'!AA8</f>
        <v>0</v>
      </c>
      <c r="V8">
        <f>T8*U8</f>
        <v>0</v>
      </c>
      <c r="W8" s="13">
        <f>N8-Q8-T8</f>
        <v>0</v>
      </c>
      <c r="X8" s="8">
        <f>0.523*'(2) Free LF earnings 1800'!AG8</f>
        <v>0</v>
      </c>
      <c r="Y8">
        <f>W8*X8</f>
        <v>0</v>
      </c>
      <c r="Z8" s="13">
        <f aca="true" t="shared" si="1" ref="Z8:Z28">J8-AL8-N8</f>
        <v>90.21846315789476</v>
      </c>
      <c r="AA8" s="27">
        <f>AB8/Z8</f>
        <v>99.54117014399998</v>
      </c>
      <c r="AB8" s="13">
        <f>AE8+AH8+AK8</f>
        <v>8980.451391330196</v>
      </c>
      <c r="AC8" s="13">
        <f>0.16*0.5*Z8</f>
        <v>7.217477052631581</v>
      </c>
      <c r="AD8" s="8">
        <f>0.471*'(2) Free LF earnings 1800'!AP8</f>
        <v>181.62702</v>
      </c>
      <c r="AE8" s="13">
        <f>AC8*AD8</f>
        <v>1310.888848987857</v>
      </c>
      <c r="AF8" s="13">
        <f>0.16*0.5*Z8</f>
        <v>7.217477052631581</v>
      </c>
      <c r="AG8" s="8">
        <f>0.471*'(2) Free LF earnings 1800'!AS8</f>
        <v>130.36337999999998</v>
      </c>
      <c r="AH8" s="13">
        <f>AF8*AG8</f>
        <v>940.8947036534905</v>
      </c>
      <c r="AI8" s="13">
        <f>Z8-AC8-AF8</f>
        <v>75.7835090526316</v>
      </c>
      <c r="AJ8" s="8">
        <f>0.471*'(2) Free LF earnings 1800'!AY8</f>
        <v>88.7880216</v>
      </c>
      <c r="AK8" s="13">
        <f aca="true" t="shared" si="2" ref="AK8:AK13">AI8*AJ8</f>
        <v>6728.66783868885</v>
      </c>
      <c r="AL8" s="13">
        <v>77.83553684210527</v>
      </c>
      <c r="AM8" s="8">
        <f>AN8/AL8</f>
        <v>85.921648944</v>
      </c>
      <c r="AN8" s="13">
        <f>AT8+AW8+AQ8</f>
        <v>6687.7576719151475</v>
      </c>
      <c r="AO8" s="13">
        <f>AL8*0.16*0.5</f>
        <v>6.2268429473684215</v>
      </c>
      <c r="AP8" s="8">
        <f>0.439*'(2) Free LF earnings 1800'!BH8</f>
        <v>131.91072</v>
      </c>
      <c r="AQ8" s="13">
        <f>AO8*AP8</f>
        <v>821.3873365142906</v>
      </c>
      <c r="AR8" s="13">
        <f>AL8*0.16*0.5</f>
        <v>6.2268429473684215</v>
      </c>
      <c r="AS8" s="8">
        <f>0.439*'(2) Free LF earnings 1800'!BK8</f>
        <v>94.67913</v>
      </c>
      <c r="AT8" s="13">
        <f>AR8*AS8</f>
        <v>589.5520729034779</v>
      </c>
      <c r="AU8" s="13">
        <f>AL8-AO8-AR8</f>
        <v>65.38185094736842</v>
      </c>
      <c r="AV8" s="8">
        <f>0.439*'(2) Free LF earnings 1800'!BN8</f>
        <v>80.7076916</v>
      </c>
      <c r="AW8" s="13">
        <f>AU8*AV8</f>
        <v>5276.818262497379</v>
      </c>
    </row>
    <row r="9" spans="1:49" ht="13.5">
      <c r="A9" t="s">
        <v>57</v>
      </c>
      <c r="B9" s="13">
        <v>0</v>
      </c>
      <c r="C9" s="30">
        <v>0</v>
      </c>
      <c r="D9" s="13">
        <f t="shared" si="0"/>
        <v>0</v>
      </c>
      <c r="E9" s="13"/>
      <c r="F9" s="13">
        <v>0</v>
      </c>
      <c r="G9" s="8">
        <f>0.401*'(2) Free LF earnings 1800'!G9</f>
        <v>81.13032</v>
      </c>
      <c r="H9" s="13">
        <f aca="true" t="shared" si="3" ref="H9:H29">F9*G9</f>
        <v>0</v>
      </c>
      <c r="J9" s="13">
        <v>0</v>
      </c>
      <c r="K9" s="8">
        <v>0</v>
      </c>
      <c r="L9" s="13">
        <f aca="true" t="shared" si="4" ref="L9:L35">D9-H9</f>
        <v>0</v>
      </c>
      <c r="M9" s="13"/>
      <c r="N9" s="13">
        <v>0</v>
      </c>
      <c r="O9" s="8">
        <v>0</v>
      </c>
      <c r="P9" s="13">
        <f aca="true" t="shared" si="5" ref="P9:P35">S9+V9+Y9</f>
        <v>0</v>
      </c>
      <c r="Q9">
        <f aca="true" t="shared" si="6" ref="Q9:Q14">0.16*N9*0.5</f>
        <v>0</v>
      </c>
      <c r="R9" s="8">
        <f>0.523*'(2) Free LF earnings 1800'!X9</f>
        <v>0</v>
      </c>
      <c r="S9" s="13">
        <f aca="true" t="shared" si="7" ref="S9:S29">Q9*R9</f>
        <v>0</v>
      </c>
      <c r="T9">
        <f aca="true" t="shared" si="8" ref="T9:T14">0.16*N9*0.5</f>
        <v>0</v>
      </c>
      <c r="U9" s="8">
        <f>0.523*'(2) Free LF earnings 1800'!AA9</f>
        <v>0</v>
      </c>
      <c r="V9" s="13">
        <f aca="true" t="shared" si="9" ref="V9:V29">T9*U9</f>
        <v>0</v>
      </c>
      <c r="W9" s="13">
        <f aca="true" t="shared" si="10" ref="W9:W35">N9-Q9-T9</f>
        <v>0</v>
      </c>
      <c r="X9" s="8">
        <f>0.523*'(2) Free LF earnings 1800'!AG9</f>
        <v>0</v>
      </c>
      <c r="Y9" s="13">
        <f aca="true" t="shared" si="11" ref="Y9:Y29">W9*X9</f>
        <v>0</v>
      </c>
      <c r="Z9" s="13">
        <f t="shared" si="1"/>
        <v>0</v>
      </c>
      <c r="AA9" s="27">
        <v>0</v>
      </c>
      <c r="AB9" s="13">
        <f aca="true" t="shared" si="12" ref="AB9:AB35">AE9+AH9+AK9</f>
        <v>0</v>
      </c>
      <c r="AC9" s="13">
        <f aca="true" t="shared" si="13" ref="AC9:AC35">0.16*0.5*Z9</f>
        <v>0</v>
      </c>
      <c r="AD9" s="8">
        <f>0.471*'(2) Free LF earnings 1800'!AP9</f>
        <v>181.62702</v>
      </c>
      <c r="AE9" s="13">
        <f aca="true" t="shared" si="14" ref="AE9:AE29">AC9*AD9</f>
        <v>0</v>
      </c>
      <c r="AF9" s="13">
        <f aca="true" t="shared" si="15" ref="AF9:AF35">0.16*0.5*Z9</f>
        <v>0</v>
      </c>
      <c r="AG9" s="8">
        <f>0.471*'(2) Free LF earnings 1800'!AS9</f>
        <v>130.36337999999998</v>
      </c>
      <c r="AH9" s="13">
        <f aca="true" t="shared" si="16" ref="AH9:AH18">AF9*AG9</f>
        <v>0</v>
      </c>
      <c r="AI9" s="13">
        <f aca="true" t="shared" si="17" ref="AI9:AI35">Z9-AC9-AF9</f>
        <v>0</v>
      </c>
      <c r="AJ9" s="8">
        <f>0.471*'(2) Free LF earnings 1800'!AY9</f>
        <v>88.7880216</v>
      </c>
      <c r="AK9" s="13">
        <f t="shared" si="2"/>
        <v>0</v>
      </c>
      <c r="AL9" s="13">
        <v>0</v>
      </c>
      <c r="AM9" s="8">
        <v>0</v>
      </c>
      <c r="AN9" s="13">
        <f aca="true" t="shared" si="18" ref="AN9:AN35">AT9+AW9+AQ9</f>
        <v>0</v>
      </c>
      <c r="AO9" s="13">
        <f aca="true" t="shared" si="19" ref="AO9:AO35">AL9*0.16*0.5</f>
        <v>0</v>
      </c>
      <c r="AP9" s="8">
        <f>0.439*'(2) Free LF earnings 1800'!BH9</f>
        <v>131.91072</v>
      </c>
      <c r="AQ9" s="13">
        <f aca="true" t="shared" si="20" ref="AQ9:AQ29">AO9*AP9</f>
        <v>0</v>
      </c>
      <c r="AR9" s="13">
        <f aca="true" t="shared" si="21" ref="AR9:AR35">AL9*0.16*0.5</f>
        <v>0</v>
      </c>
      <c r="AS9" s="8">
        <f>0.439*'(2) Free LF earnings 1800'!BK9</f>
        <v>94.67913</v>
      </c>
      <c r="AT9" s="13">
        <f aca="true" t="shared" si="22" ref="AT9:AT18">AR9*AS9</f>
        <v>0</v>
      </c>
      <c r="AU9" s="13">
        <f aca="true" t="shared" si="23" ref="AU9:AU35">AL9-AO9-AR9</f>
        <v>0</v>
      </c>
      <c r="AV9" s="8">
        <f>0.439*'(2) Free LF earnings 1800'!BN9</f>
        <v>80.7076916</v>
      </c>
      <c r="AW9" s="13">
        <f aca="true" t="shared" si="24" ref="AW9:AW29">AU9*AV9</f>
        <v>0</v>
      </c>
    </row>
    <row r="10" spans="1:49" ht="13.5">
      <c r="A10" t="s">
        <v>58</v>
      </c>
      <c r="B10" s="13">
        <v>0</v>
      </c>
      <c r="C10" s="30">
        <v>0</v>
      </c>
      <c r="D10" s="13">
        <f t="shared" si="0"/>
        <v>0</v>
      </c>
      <c r="E10" s="13"/>
      <c r="F10" s="13">
        <v>0</v>
      </c>
      <c r="G10" s="8">
        <f>0.401*'(2) Free LF earnings 1800'!G10</f>
        <v>82.6461</v>
      </c>
      <c r="H10" s="13">
        <f t="shared" si="3"/>
        <v>0</v>
      </c>
      <c r="J10" s="13">
        <v>0</v>
      </c>
      <c r="K10" s="8">
        <v>0</v>
      </c>
      <c r="L10" s="13">
        <f t="shared" si="4"/>
        <v>0</v>
      </c>
      <c r="M10" s="13"/>
      <c r="N10" s="13">
        <v>0</v>
      </c>
      <c r="O10" s="8">
        <v>0</v>
      </c>
      <c r="P10" s="13">
        <f t="shared" si="5"/>
        <v>0</v>
      </c>
      <c r="Q10">
        <f t="shared" si="6"/>
        <v>0</v>
      </c>
      <c r="R10" s="8">
        <f>0.523*'(2) Free LF earnings 1800'!X10</f>
        <v>261.9184</v>
      </c>
      <c r="S10" s="13">
        <f t="shared" si="7"/>
        <v>0</v>
      </c>
      <c r="T10">
        <f t="shared" si="8"/>
        <v>0</v>
      </c>
      <c r="U10" s="8">
        <f>0.523*'(2) Free LF earnings 1800'!AA10</f>
        <v>206.0956289</v>
      </c>
      <c r="V10" s="13">
        <f t="shared" si="9"/>
        <v>0</v>
      </c>
      <c r="W10" s="13">
        <f t="shared" si="10"/>
        <v>0</v>
      </c>
      <c r="X10" s="8">
        <f>0.523*'(2) Free LF earnings 1800'!AG10</f>
        <v>105.627695</v>
      </c>
      <c r="Y10" s="13">
        <f t="shared" si="11"/>
        <v>0</v>
      </c>
      <c r="Z10" s="13">
        <f t="shared" si="1"/>
        <v>0</v>
      </c>
      <c r="AA10" s="27">
        <v>0</v>
      </c>
      <c r="AB10" s="13">
        <f t="shared" si="12"/>
        <v>0</v>
      </c>
      <c r="AC10" s="13">
        <f t="shared" si="13"/>
        <v>0</v>
      </c>
      <c r="AD10" s="8">
        <f>0.471*'(2) Free LF earnings 1800'!AP10</f>
        <v>181.62702</v>
      </c>
      <c r="AE10" s="13">
        <f t="shared" si="14"/>
        <v>0</v>
      </c>
      <c r="AF10" s="13">
        <f t="shared" si="15"/>
        <v>0</v>
      </c>
      <c r="AG10" s="8">
        <f>0.471*'(2) Free LF earnings 1800'!AS10</f>
        <v>130.36337999999998</v>
      </c>
      <c r="AH10" s="13">
        <f t="shared" si="16"/>
        <v>0</v>
      </c>
      <c r="AI10" s="13">
        <f t="shared" si="17"/>
        <v>0</v>
      </c>
      <c r="AJ10" s="8">
        <f>0.471*'(2) Free LF earnings 1800'!AY10</f>
        <v>88.7880216</v>
      </c>
      <c r="AK10" s="13">
        <f t="shared" si="2"/>
        <v>0</v>
      </c>
      <c r="AL10" s="13">
        <v>0</v>
      </c>
      <c r="AM10" s="8">
        <v>0</v>
      </c>
      <c r="AN10" s="13">
        <f t="shared" si="18"/>
        <v>0</v>
      </c>
      <c r="AO10" s="13">
        <f t="shared" si="19"/>
        <v>0</v>
      </c>
      <c r="AP10" s="8">
        <f>0.439*'(2) Free LF earnings 1800'!BH10</f>
        <v>131.91072</v>
      </c>
      <c r="AQ10" s="13">
        <f t="shared" si="20"/>
        <v>0</v>
      </c>
      <c r="AR10" s="13">
        <f t="shared" si="21"/>
        <v>0</v>
      </c>
      <c r="AS10" s="8">
        <f>0.439*'(2) Free LF earnings 1800'!BK10</f>
        <v>94.67913</v>
      </c>
      <c r="AT10" s="13">
        <f t="shared" si="22"/>
        <v>0</v>
      </c>
      <c r="AU10" s="13">
        <f t="shared" si="23"/>
        <v>0</v>
      </c>
      <c r="AV10" s="8">
        <f>0.439*'(2) Free LF earnings 1800'!BN10</f>
        <v>80.7076916</v>
      </c>
      <c r="AW10" s="13">
        <f t="shared" si="24"/>
        <v>0</v>
      </c>
    </row>
    <row r="11" spans="1:49" ht="13.5">
      <c r="A11" t="s">
        <v>59</v>
      </c>
      <c r="B11" s="13">
        <v>5.4</v>
      </c>
      <c r="C11" s="30">
        <f>D11/B11</f>
        <v>69.32135119999998</v>
      </c>
      <c r="D11" s="13">
        <f t="shared" si="0"/>
        <v>374.33529647999995</v>
      </c>
      <c r="E11" s="13"/>
      <c r="F11" s="13">
        <v>4.614</v>
      </c>
      <c r="G11" s="8">
        <f>0.401*'(2) Free LF earnings 1800'!G11</f>
        <v>81.13032</v>
      </c>
      <c r="H11" s="13">
        <f t="shared" si="3"/>
        <v>374.33529647999995</v>
      </c>
      <c r="J11" s="13">
        <v>0</v>
      </c>
      <c r="K11" s="8">
        <v>0</v>
      </c>
      <c r="L11" s="13">
        <f t="shared" si="4"/>
        <v>0</v>
      </c>
      <c r="M11" s="13"/>
      <c r="N11" s="13">
        <v>0</v>
      </c>
      <c r="O11" s="8">
        <v>0</v>
      </c>
      <c r="P11" s="13">
        <f t="shared" si="5"/>
        <v>0</v>
      </c>
      <c r="Q11">
        <f t="shared" si="6"/>
        <v>0</v>
      </c>
      <c r="R11" s="8">
        <f>0.523*'(2) Free LF earnings 1800'!X11</f>
        <v>0</v>
      </c>
      <c r="S11" s="13">
        <f t="shared" si="7"/>
        <v>0</v>
      </c>
      <c r="T11">
        <f t="shared" si="8"/>
        <v>0</v>
      </c>
      <c r="U11" s="8">
        <f>0.523*'(2) Free LF earnings 1800'!AA11</f>
        <v>0</v>
      </c>
      <c r="V11" s="13">
        <f t="shared" si="9"/>
        <v>0</v>
      </c>
      <c r="W11" s="13">
        <f t="shared" si="10"/>
        <v>0</v>
      </c>
      <c r="X11" s="8">
        <f>0.523*'(2) Free LF earnings 1800'!AG11</f>
        <v>0</v>
      </c>
      <c r="Y11" s="13">
        <f t="shared" si="11"/>
        <v>0</v>
      </c>
      <c r="Z11" s="13">
        <f t="shared" si="1"/>
        <v>0</v>
      </c>
      <c r="AA11" s="27">
        <v>0</v>
      </c>
      <c r="AB11" s="13">
        <f t="shared" si="12"/>
        <v>0</v>
      </c>
      <c r="AC11" s="13">
        <f t="shared" si="13"/>
        <v>0</v>
      </c>
      <c r="AD11" s="8">
        <f>0.471*'(2) Free LF earnings 1800'!AP11</f>
        <v>181.62702</v>
      </c>
      <c r="AE11" s="13">
        <f t="shared" si="14"/>
        <v>0</v>
      </c>
      <c r="AF11" s="13">
        <f t="shared" si="15"/>
        <v>0</v>
      </c>
      <c r="AG11" s="8">
        <f>0.471*'(2) Free LF earnings 1800'!AS11</f>
        <v>130.36337999999998</v>
      </c>
      <c r="AH11" s="13">
        <f t="shared" si="16"/>
        <v>0</v>
      </c>
      <c r="AI11" s="13">
        <f t="shared" si="17"/>
        <v>0</v>
      </c>
      <c r="AJ11" s="8">
        <f>0.471*'(2) Free LF earnings 1800'!AY11</f>
        <v>88.7880216</v>
      </c>
      <c r="AK11" s="13">
        <f t="shared" si="2"/>
        <v>0</v>
      </c>
      <c r="AL11" s="13">
        <v>0</v>
      </c>
      <c r="AM11" s="8">
        <v>0</v>
      </c>
      <c r="AN11" s="13">
        <f t="shared" si="18"/>
        <v>0</v>
      </c>
      <c r="AO11" s="13">
        <f t="shared" si="19"/>
        <v>0</v>
      </c>
      <c r="AP11" s="8">
        <f>0.439*'(2) Free LF earnings 1800'!BH11</f>
        <v>131.91072</v>
      </c>
      <c r="AQ11" s="13">
        <f t="shared" si="20"/>
        <v>0</v>
      </c>
      <c r="AR11" s="13">
        <f t="shared" si="21"/>
        <v>0</v>
      </c>
      <c r="AS11" s="8">
        <f>0.439*'(2) Free LF earnings 1800'!BK11</f>
        <v>94.67913</v>
      </c>
      <c r="AT11" s="13">
        <f t="shared" si="22"/>
        <v>0</v>
      </c>
      <c r="AU11" s="13">
        <f t="shared" si="23"/>
        <v>0</v>
      </c>
      <c r="AV11" s="8">
        <f>0.439*'(2) Free LF earnings 1800'!BN11</f>
        <v>80.7076916</v>
      </c>
      <c r="AW11" s="13">
        <f t="shared" si="24"/>
        <v>0</v>
      </c>
    </row>
    <row r="12" spans="1:49" ht="13.5">
      <c r="A12" t="s">
        <v>60</v>
      </c>
      <c r="B12" s="13">
        <v>231.3</v>
      </c>
      <c r="C12" s="30">
        <f>D12/B12</f>
        <v>86.85413817700206</v>
      </c>
      <c r="D12" s="13">
        <f t="shared" si="0"/>
        <v>20089.362160340577</v>
      </c>
      <c r="E12" s="13"/>
      <c r="F12" s="13">
        <v>139.189</v>
      </c>
      <c r="G12" s="8">
        <f>0.401*'(2) Free LF earnings 1800'!G12</f>
        <v>82.6461</v>
      </c>
      <c r="H12" s="13">
        <f t="shared" si="3"/>
        <v>11503.4280129</v>
      </c>
      <c r="J12" s="13">
        <v>92.11100000000002</v>
      </c>
      <c r="K12" s="8">
        <f aca="true" t="shared" si="25" ref="K12:K41">L12/J12</f>
        <v>93.2129077682424</v>
      </c>
      <c r="L12" s="13">
        <f t="shared" si="4"/>
        <v>8585.934147440577</v>
      </c>
      <c r="M12" s="13"/>
      <c r="N12" s="13">
        <v>0</v>
      </c>
      <c r="O12" s="8">
        <v>0</v>
      </c>
      <c r="P12" s="13">
        <f t="shared" si="5"/>
        <v>0</v>
      </c>
      <c r="Q12">
        <f t="shared" si="6"/>
        <v>0</v>
      </c>
      <c r="R12" s="8">
        <f>0.523*'(2) Free LF earnings 1800'!X12</f>
        <v>0</v>
      </c>
      <c r="S12" s="13">
        <f t="shared" si="7"/>
        <v>0</v>
      </c>
      <c r="T12">
        <f t="shared" si="8"/>
        <v>0</v>
      </c>
      <c r="U12" s="8">
        <f>0.523*'(2) Free LF earnings 1800'!AA12</f>
        <v>0</v>
      </c>
      <c r="V12" s="13">
        <f t="shared" si="9"/>
        <v>0</v>
      </c>
      <c r="W12" s="13">
        <f t="shared" si="10"/>
        <v>0</v>
      </c>
      <c r="X12" s="8">
        <f>0.523*'(2) Free LF earnings 1800'!AG12</f>
        <v>0</v>
      </c>
      <c r="Y12" s="13">
        <f t="shared" si="11"/>
        <v>0</v>
      </c>
      <c r="Z12" s="13">
        <f t="shared" si="1"/>
        <v>49.3119494949495</v>
      </c>
      <c r="AA12" s="27">
        <f aca="true" t="shared" si="26" ref="AA12:AA41">AB12/Z12</f>
        <v>99.541170144</v>
      </c>
      <c r="AB12" s="13">
        <f t="shared" si="12"/>
        <v>4908.569154809104</v>
      </c>
      <c r="AC12" s="13">
        <f t="shared" si="13"/>
        <v>3.9449559595959602</v>
      </c>
      <c r="AD12" s="8">
        <f>0.471*'(2) Free LF earnings 1800'!AP12</f>
        <v>181.62702</v>
      </c>
      <c r="AE12" s="13">
        <f t="shared" si="14"/>
        <v>716.5105949726546</v>
      </c>
      <c r="AF12" s="13">
        <f t="shared" si="15"/>
        <v>3.9449559595959602</v>
      </c>
      <c r="AG12" s="8">
        <f>0.471*'(2) Free LF earnings 1800'!AS12</f>
        <v>130.36337999999998</v>
      </c>
      <c r="AH12" s="13">
        <f t="shared" si="16"/>
        <v>514.2777928440727</v>
      </c>
      <c r="AI12" s="13">
        <f t="shared" si="17"/>
        <v>41.422037575757585</v>
      </c>
      <c r="AJ12" s="8">
        <f>0.471*'(2) Free LF earnings 1800'!AY12</f>
        <v>88.7880216</v>
      </c>
      <c r="AK12" s="13">
        <f t="shared" si="2"/>
        <v>3677.780766992376</v>
      </c>
      <c r="AL12" s="13">
        <v>42.799050505050516</v>
      </c>
      <c r="AM12" s="8">
        <f aca="true" t="shared" si="27" ref="AM12:AM41">AN12/AL12</f>
        <v>85.921648944</v>
      </c>
      <c r="AN12" s="13">
        <f t="shared" si="18"/>
        <v>3677.3649926314765</v>
      </c>
      <c r="AO12" s="13">
        <f t="shared" si="19"/>
        <v>3.4239240404040414</v>
      </c>
      <c r="AP12" s="8">
        <f>0.439*'(2) Free LF earnings 1800'!BH12</f>
        <v>131.91072</v>
      </c>
      <c r="AQ12" s="13">
        <f t="shared" si="20"/>
        <v>451.6522853950062</v>
      </c>
      <c r="AR12" s="13">
        <f t="shared" si="21"/>
        <v>3.4239240404040414</v>
      </c>
      <c r="AS12" s="8">
        <f>0.439*'(2) Free LF earnings 1800'!BK12</f>
        <v>94.67913</v>
      </c>
      <c r="AT12" s="13">
        <f t="shared" si="22"/>
        <v>324.17414933153947</v>
      </c>
      <c r="AU12" s="13">
        <f t="shared" si="23"/>
        <v>35.95120242424244</v>
      </c>
      <c r="AV12" s="8">
        <f>0.439*'(2) Free LF earnings 1800'!BN12</f>
        <v>80.7076916</v>
      </c>
      <c r="AW12" s="13">
        <f t="shared" si="24"/>
        <v>2901.538557904931</v>
      </c>
    </row>
    <row r="13" spans="1:49" ht="13.5">
      <c r="A13" t="s">
        <v>61</v>
      </c>
      <c r="B13" s="13">
        <v>0</v>
      </c>
      <c r="C13" s="30">
        <v>0</v>
      </c>
      <c r="D13" s="13">
        <f t="shared" si="0"/>
        <v>0</v>
      </c>
      <c r="E13" s="13"/>
      <c r="F13" s="13">
        <v>0</v>
      </c>
      <c r="G13" s="8">
        <f>0.401*'(2) Free LF earnings 1800'!G13</f>
        <v>81.13032</v>
      </c>
      <c r="H13" s="13">
        <f t="shared" si="3"/>
        <v>0</v>
      </c>
      <c r="J13" s="13">
        <v>0</v>
      </c>
      <c r="K13" s="8">
        <v>0</v>
      </c>
      <c r="L13" s="13">
        <f t="shared" si="4"/>
        <v>0</v>
      </c>
      <c r="M13" s="13"/>
      <c r="N13" s="13">
        <v>0</v>
      </c>
      <c r="O13" s="8">
        <v>0</v>
      </c>
      <c r="P13" s="13">
        <f t="shared" si="5"/>
        <v>0</v>
      </c>
      <c r="Q13">
        <f t="shared" si="6"/>
        <v>0</v>
      </c>
      <c r="R13" s="8">
        <f>0.523*'(2) Free LF earnings 1800'!U13</f>
        <v>0</v>
      </c>
      <c r="S13" s="13">
        <f t="shared" si="7"/>
        <v>0</v>
      </c>
      <c r="T13">
        <f t="shared" si="8"/>
        <v>0</v>
      </c>
      <c r="U13" s="8">
        <f>0.523*'(2) Free LF earnings 1800'!AA13</f>
        <v>0</v>
      </c>
      <c r="V13" s="13">
        <f t="shared" si="9"/>
        <v>0</v>
      </c>
      <c r="W13" s="13">
        <f t="shared" si="10"/>
        <v>0</v>
      </c>
      <c r="X13" s="8">
        <f>0.523*'(2) Free LF earnings 1800'!AG13</f>
        <v>0</v>
      </c>
      <c r="Y13" s="13">
        <f t="shared" si="11"/>
        <v>0</v>
      </c>
      <c r="Z13" s="13">
        <f t="shared" si="1"/>
        <v>0</v>
      </c>
      <c r="AA13" s="27">
        <v>0</v>
      </c>
      <c r="AB13" s="13">
        <f t="shared" si="12"/>
        <v>0</v>
      </c>
      <c r="AC13" s="13">
        <f t="shared" si="13"/>
        <v>0</v>
      </c>
      <c r="AD13" s="8">
        <f>0.471*'(2) Free LF earnings 1800'!AP13</f>
        <v>181.62702</v>
      </c>
      <c r="AE13" s="13">
        <f t="shared" si="14"/>
        <v>0</v>
      </c>
      <c r="AF13" s="13">
        <f t="shared" si="15"/>
        <v>0</v>
      </c>
      <c r="AG13" s="8">
        <f>0.471*'(2) Free LF earnings 1800'!AS13</f>
        <v>130.36337999999998</v>
      </c>
      <c r="AH13" s="13">
        <f t="shared" si="16"/>
        <v>0</v>
      </c>
      <c r="AI13" s="13">
        <f t="shared" si="17"/>
        <v>0</v>
      </c>
      <c r="AJ13" s="8">
        <f>0.471*'(2) Free LF earnings 1800'!AY13</f>
        <v>88.7880216</v>
      </c>
      <c r="AK13" s="13">
        <f t="shared" si="2"/>
        <v>0</v>
      </c>
      <c r="AL13" s="13">
        <v>0</v>
      </c>
      <c r="AM13" s="8">
        <v>0</v>
      </c>
      <c r="AN13" s="13">
        <f t="shared" si="18"/>
        <v>0</v>
      </c>
      <c r="AO13" s="13">
        <f t="shared" si="19"/>
        <v>0</v>
      </c>
      <c r="AP13" s="8">
        <f>0.439*'(2) Free LF earnings 1800'!BH13</f>
        <v>131.91072</v>
      </c>
      <c r="AQ13" s="13">
        <f t="shared" si="20"/>
        <v>0</v>
      </c>
      <c r="AR13" s="13">
        <f t="shared" si="21"/>
        <v>0</v>
      </c>
      <c r="AS13" s="8">
        <f>0.439*'(2) Free LF earnings 1800'!BK13</f>
        <v>94.67913</v>
      </c>
      <c r="AT13" s="13">
        <f t="shared" si="22"/>
        <v>0</v>
      </c>
      <c r="AU13" s="13">
        <f t="shared" si="23"/>
        <v>0</v>
      </c>
      <c r="AV13" s="8">
        <f>0.439*'(2) Free LF earnings 1800'!BN13</f>
        <v>80.7076916</v>
      </c>
      <c r="AW13" s="13">
        <f t="shared" si="24"/>
        <v>0</v>
      </c>
    </row>
    <row r="14" spans="1:49" ht="13.5">
      <c r="A14" s="9" t="s">
        <v>62</v>
      </c>
      <c r="B14" s="13">
        <f>SUM(B8:B13)</f>
        <v>815.4000000000001</v>
      </c>
      <c r="C14" s="31">
        <f>D14/B14</f>
        <v>85.93352575504774</v>
      </c>
      <c r="D14" s="13">
        <f t="shared" si="0"/>
        <v>70070.19690066593</v>
      </c>
      <c r="E14" s="32"/>
      <c r="F14" s="13">
        <f>SUM(F8:F13)</f>
        <v>554.449</v>
      </c>
      <c r="G14" s="8">
        <f>H14/F14</f>
        <v>82.63348601941749</v>
      </c>
      <c r="H14" s="13">
        <f>SUM(H8:H13)</f>
        <v>45816.053689980006</v>
      </c>
      <c r="J14" s="13">
        <f>SUM(J8:J13)</f>
        <v>260.1650000000001</v>
      </c>
      <c r="K14" s="8">
        <f t="shared" si="25"/>
        <v>93.22600353885389</v>
      </c>
      <c r="L14" s="13">
        <f t="shared" si="4"/>
        <v>24254.14321068593</v>
      </c>
      <c r="M14" s="13"/>
      <c r="N14" s="14">
        <f>SUM(N8:N13)</f>
        <v>0</v>
      </c>
      <c r="O14" s="8">
        <v>0</v>
      </c>
      <c r="P14" s="13">
        <f t="shared" si="5"/>
        <v>0</v>
      </c>
      <c r="Q14">
        <f t="shared" si="6"/>
        <v>0</v>
      </c>
      <c r="R14" s="8">
        <f>Q8*S8</f>
        <v>0</v>
      </c>
      <c r="S14" s="41">
        <f>SUM(S8:S13)</f>
        <v>0</v>
      </c>
      <c r="T14">
        <f t="shared" si="8"/>
        <v>0</v>
      </c>
      <c r="U14" s="8">
        <v>0</v>
      </c>
      <c r="V14" s="13">
        <f>SUM(V8:V13)</f>
        <v>0</v>
      </c>
      <c r="W14" s="13">
        <f t="shared" si="10"/>
        <v>0</v>
      </c>
      <c r="X14" s="8">
        <v>0</v>
      </c>
      <c r="Y14" s="13">
        <f>SUM(Y8:Y13)</f>
        <v>0</v>
      </c>
      <c r="Z14" s="13">
        <f t="shared" si="1"/>
        <v>139.5304126528443</v>
      </c>
      <c r="AA14" s="27">
        <f t="shared" si="26"/>
        <v>99.54117014399998</v>
      </c>
      <c r="AB14" s="13">
        <f t="shared" si="12"/>
        <v>13889.020546139302</v>
      </c>
      <c r="AC14" s="13">
        <f t="shared" si="13"/>
        <v>11.162433012227543</v>
      </c>
      <c r="AD14" s="8">
        <f>AE8/AC8</f>
        <v>181.62702</v>
      </c>
      <c r="AE14" s="13">
        <f>SUM(AE8:AE13)</f>
        <v>2027.3994439605117</v>
      </c>
      <c r="AF14" s="13">
        <f t="shared" si="15"/>
        <v>11.162433012227543</v>
      </c>
      <c r="AG14" s="8">
        <f>AH8/AF8</f>
        <v>130.36337999999998</v>
      </c>
      <c r="AH14" s="13">
        <f>SUM(AH8:AH13)</f>
        <v>1455.1724964975633</v>
      </c>
      <c r="AI14" s="13">
        <f t="shared" si="17"/>
        <v>117.2055466283892</v>
      </c>
      <c r="AJ14" s="8">
        <f>AK8/AI8</f>
        <v>88.7880216</v>
      </c>
      <c r="AK14" s="14">
        <f>SUM(AK8:AK13)</f>
        <v>10406.448605681226</v>
      </c>
      <c r="AL14" s="13">
        <f>SUM(AL8:AL13)</f>
        <v>120.63458734715579</v>
      </c>
      <c r="AM14" s="8">
        <f t="shared" si="27"/>
        <v>85.92164894400001</v>
      </c>
      <c r="AN14" s="13">
        <f t="shared" si="18"/>
        <v>10365.122664546625</v>
      </c>
      <c r="AO14" s="13">
        <f t="shared" si="19"/>
        <v>9.650766987772464</v>
      </c>
      <c r="AP14" s="8">
        <f>AQ14/AO14</f>
        <v>131.91072</v>
      </c>
      <c r="AQ14" s="13">
        <f>SUM(AQ8:AQ13)</f>
        <v>1273.0396219092968</v>
      </c>
      <c r="AR14" s="13">
        <f t="shared" si="21"/>
        <v>9.650766987772464</v>
      </c>
      <c r="AS14" s="42">
        <f>AT8/AR8</f>
        <v>94.67912999999999</v>
      </c>
      <c r="AT14" s="13">
        <f>SUM(AT8:AT13)</f>
        <v>913.7262222350173</v>
      </c>
      <c r="AU14" s="13">
        <f t="shared" si="23"/>
        <v>101.33305337161084</v>
      </c>
      <c r="AV14" s="8">
        <f>AW8/AU8</f>
        <v>80.7076916</v>
      </c>
      <c r="AW14" s="13">
        <f>SUM(AW8:AW13)</f>
        <v>8178.35682040231</v>
      </c>
    </row>
    <row r="15" spans="1:49" ht="18">
      <c r="A15" s="3"/>
      <c r="C15" s="3"/>
      <c r="D15" s="13"/>
      <c r="E15" s="13"/>
      <c r="G15" s="8"/>
      <c r="H15" s="13"/>
      <c r="K15" s="8"/>
      <c r="L15" s="13"/>
      <c r="N15" s="12"/>
      <c r="O15" s="8"/>
      <c r="P15" s="13"/>
      <c r="R15" s="8"/>
      <c r="S15" s="13"/>
      <c r="U15" s="8"/>
      <c r="V15" s="13"/>
      <c r="W15" s="13"/>
      <c r="X15" s="8"/>
      <c r="Y15" s="13"/>
      <c r="Z15" s="13"/>
      <c r="AA15" s="27"/>
      <c r="AB15" s="13"/>
      <c r="AC15" s="13"/>
      <c r="AD15" s="8"/>
      <c r="AE15" s="13"/>
      <c r="AF15" s="13"/>
      <c r="AG15" s="8"/>
      <c r="AH15" s="13"/>
      <c r="AI15" s="13"/>
      <c r="AJ15" s="8"/>
      <c r="AK15" s="13"/>
      <c r="AM15" s="8"/>
      <c r="AN15" s="13"/>
      <c r="AO15" s="13"/>
      <c r="AP15" s="8"/>
      <c r="AQ15" s="13"/>
      <c r="AR15" s="13"/>
      <c r="AT15" s="13"/>
      <c r="AU15" s="13"/>
      <c r="AV15" s="8"/>
      <c r="AW15" s="13"/>
    </row>
    <row r="16" spans="1:49" ht="13.5">
      <c r="A16" t="s">
        <v>66</v>
      </c>
      <c r="B16" s="13">
        <v>7552.799999999999</v>
      </c>
      <c r="C16" s="30">
        <f aca="true" t="shared" si="28" ref="C16:C41">D16/B16</f>
        <v>79.44946262676602</v>
      </c>
      <c r="D16" s="13">
        <f>H16+P16+AB16+AN16</f>
        <v>600065.9013274383</v>
      </c>
      <c r="E16" s="13"/>
      <c r="F16" s="13">
        <v>6454</v>
      </c>
      <c r="G16" s="8">
        <f>0.401*'(2) Free LF earnings 1800'!G16</f>
        <v>77.10027000000001</v>
      </c>
      <c r="H16" s="13">
        <f t="shared" si="3"/>
        <v>497605.14258000004</v>
      </c>
      <c r="J16" s="13">
        <v>1099.351999999999</v>
      </c>
      <c r="K16" s="8">
        <f t="shared" si="25"/>
        <v>93.20104820606899</v>
      </c>
      <c r="L16" s="13">
        <f t="shared" si="4"/>
        <v>102460.75874743826</v>
      </c>
      <c r="M16" s="13"/>
      <c r="N16" s="13">
        <v>0</v>
      </c>
      <c r="O16" s="8">
        <v>0</v>
      </c>
      <c r="P16" s="13">
        <f t="shared" si="5"/>
        <v>0</v>
      </c>
      <c r="Q16">
        <f aca="true" t="shared" si="29" ref="Q16:Q30">0.34*N16*0.5</f>
        <v>0</v>
      </c>
      <c r="R16" s="8">
        <f>0.523*'(2) Free LF earnings 1800'!X16</f>
        <v>0</v>
      </c>
      <c r="S16" s="13">
        <f t="shared" si="7"/>
        <v>0</v>
      </c>
      <c r="T16">
        <f>0.34*N16*0.5</f>
        <v>0</v>
      </c>
      <c r="U16" s="8">
        <f>0.523*'(2) Free LF earnings 1800'!AA16</f>
        <v>0</v>
      </c>
      <c r="V16" s="13">
        <f t="shared" si="9"/>
        <v>0</v>
      </c>
      <c r="W16" s="13">
        <f t="shared" si="10"/>
        <v>0</v>
      </c>
      <c r="X16" s="8">
        <f>0.523*'(2) Free LF earnings 1800'!AG16</f>
        <v>0</v>
      </c>
      <c r="Y16" s="13">
        <f t="shared" si="11"/>
        <v>0</v>
      </c>
      <c r="Z16" s="13">
        <f t="shared" si="1"/>
        <v>587.5846896551718</v>
      </c>
      <c r="AA16" s="27">
        <f t="shared" si="26"/>
        <v>99.54117014399998</v>
      </c>
      <c r="AB16" s="13">
        <f t="shared" si="12"/>
        <v>58488.867566974885</v>
      </c>
      <c r="AC16" s="13">
        <f t="shared" si="13"/>
        <v>47.00677517241375</v>
      </c>
      <c r="AD16" s="8">
        <f>0.471*'(2) Free LF earnings 1800'!AP16</f>
        <v>181.62702</v>
      </c>
      <c r="AE16" s="13">
        <f t="shared" si="14"/>
        <v>8537.700494375495</v>
      </c>
      <c r="AF16" s="13">
        <f t="shared" si="15"/>
        <v>47.00677517241375</v>
      </c>
      <c r="AG16" s="8">
        <f>0.471*'(2) Free LF earnings 1800'!AS16</f>
        <v>130.36337999999998</v>
      </c>
      <c r="AH16" s="13">
        <f t="shared" si="16"/>
        <v>6127.962094375937</v>
      </c>
      <c r="AI16" s="13">
        <f t="shared" si="17"/>
        <v>493.5711393103443</v>
      </c>
      <c r="AJ16" s="8">
        <f>0.471*'(2) Free LF earnings 1800'!AY16</f>
        <v>88.7880216</v>
      </c>
      <c r="AK16" s="13">
        <f aca="true" t="shared" si="30" ref="AK16:AK29">AI16*AJ16</f>
        <v>43823.20497822345</v>
      </c>
      <c r="AL16" s="13">
        <v>511.7673103448271</v>
      </c>
      <c r="AM16" s="8">
        <f t="shared" si="27"/>
        <v>85.92164894400001</v>
      </c>
      <c r="AN16" s="13">
        <f t="shared" si="18"/>
        <v>43971.89118046334</v>
      </c>
      <c r="AO16" s="13">
        <f t="shared" si="19"/>
        <v>40.94138482758617</v>
      </c>
      <c r="AP16" s="8">
        <f>0.439*'(2) Free LF earnings 1800'!BH16</f>
        <v>131.91072</v>
      </c>
      <c r="AQ16" s="13">
        <f t="shared" si="20"/>
        <v>5400.607550403967</v>
      </c>
      <c r="AR16" s="13">
        <f t="shared" si="21"/>
        <v>40.94138482758617</v>
      </c>
      <c r="AS16" s="8">
        <f>0.439*'(2) Free LF earnings 1800'!BK16</f>
        <v>94.67913</v>
      </c>
      <c r="AT16" s="13">
        <f t="shared" si="22"/>
        <v>3876.2946964710586</v>
      </c>
      <c r="AU16" s="13">
        <f t="shared" si="23"/>
        <v>429.8845406896548</v>
      </c>
      <c r="AV16" s="8">
        <f>0.439*'(2) Free LF earnings 1800'!BN16</f>
        <v>80.7076916</v>
      </c>
      <c r="AW16" s="13">
        <f t="shared" si="24"/>
        <v>34694.98893358831</v>
      </c>
    </row>
    <row r="17" spans="1:49" ht="13.5">
      <c r="A17" t="s">
        <v>67</v>
      </c>
      <c r="B17" s="13">
        <v>12368.63084311633</v>
      </c>
      <c r="C17" s="30">
        <f t="shared" si="28"/>
        <v>89.57219703039648</v>
      </c>
      <c r="D17" s="13">
        <f>H17+P17+AB17+AN17</f>
        <v>1107885.438875855</v>
      </c>
      <c r="E17" s="13"/>
      <c r="F17" s="13">
        <v>8282.070909284954</v>
      </c>
      <c r="G17" s="8">
        <f>0.401*'(2) Free LF earnings 1800'!G17</f>
        <v>77.10027000000001</v>
      </c>
      <c r="H17" s="13">
        <f t="shared" si="3"/>
        <v>638549.9032650156</v>
      </c>
      <c r="J17" s="13">
        <v>4086.559933831377</v>
      </c>
      <c r="K17" s="8">
        <f t="shared" si="25"/>
        <v>114.84856290136707</v>
      </c>
      <c r="L17" s="13">
        <f t="shared" si="4"/>
        <v>469335.5356108394</v>
      </c>
      <c r="M17" s="13"/>
      <c r="N17" s="13">
        <v>1775</v>
      </c>
      <c r="O17" s="8">
        <f aca="true" t="shared" si="31" ref="O17:O36">P17/N17</f>
        <v>149.2930445483</v>
      </c>
      <c r="P17" s="13">
        <f t="shared" si="5"/>
        <v>264995.1540732325</v>
      </c>
      <c r="Q17">
        <f t="shared" si="29"/>
        <v>301.75</v>
      </c>
      <c r="R17" s="8">
        <f>0.523*'(2) Free LF earnings 1800'!X17</f>
        <v>261.9184</v>
      </c>
      <c r="S17" s="13">
        <f t="shared" si="7"/>
        <v>79033.8772</v>
      </c>
      <c r="T17">
        <f>0.34*N17*0.5</f>
        <v>301.75</v>
      </c>
      <c r="U17" s="8">
        <f>0.523*'(2) Free LF earnings 1800'!AA17</f>
        <v>206.18183498999997</v>
      </c>
      <c r="V17" s="13">
        <f t="shared" si="9"/>
        <v>62215.36870823249</v>
      </c>
      <c r="W17" s="13">
        <f t="shared" si="10"/>
        <v>1171.5</v>
      </c>
      <c r="X17" s="8">
        <f>0.523*'(2) Free LF earnings 1800'!AG17</f>
        <v>105.63031000000001</v>
      </c>
      <c r="Y17" s="13">
        <f t="shared" si="11"/>
        <v>123745.90816500002</v>
      </c>
      <c r="Z17" s="13">
        <f t="shared" si="1"/>
        <v>420.5243566074455</v>
      </c>
      <c r="AA17" s="27">
        <f t="shared" si="26"/>
        <v>99.54117014399999</v>
      </c>
      <c r="AB17" s="13">
        <f t="shared" si="12"/>
        <v>41859.48653075786</v>
      </c>
      <c r="AC17" s="13">
        <f t="shared" si="13"/>
        <v>33.64194852859564</v>
      </c>
      <c r="AD17" s="8">
        <f>0.471*'(2) Free LF earnings 1800'!AP17</f>
        <v>181.62702</v>
      </c>
      <c r="AE17" s="13">
        <f t="shared" si="14"/>
        <v>6110.286858242211</v>
      </c>
      <c r="AF17" s="13">
        <f t="shared" si="15"/>
        <v>33.64194852859564</v>
      </c>
      <c r="AG17" s="8">
        <f>0.471*'(2) Free LF earnings 1800'!AS17</f>
        <v>130.36337999999998</v>
      </c>
      <c r="AH17" s="13">
        <f t="shared" si="16"/>
        <v>4385.678119973753</v>
      </c>
      <c r="AI17" s="13">
        <f t="shared" si="17"/>
        <v>353.2404595502542</v>
      </c>
      <c r="AJ17" s="8">
        <f>0.471*'(2) Free LF earnings 1800'!AY17</f>
        <v>88.7880216</v>
      </c>
      <c r="AK17" s="13">
        <f t="shared" si="30"/>
        <v>31363.52155254189</v>
      </c>
      <c r="AL17" s="13">
        <v>1891.0355772239313</v>
      </c>
      <c r="AM17" s="8">
        <f t="shared" si="27"/>
        <v>85.921648944</v>
      </c>
      <c r="AN17" s="13">
        <f t="shared" si="18"/>
        <v>162480.89500684902</v>
      </c>
      <c r="AO17" s="13">
        <f t="shared" si="19"/>
        <v>151.2828461779145</v>
      </c>
      <c r="AP17" s="8">
        <f>0.439*'(2) Free LF earnings 1800'!BH17</f>
        <v>131.91072</v>
      </c>
      <c r="AQ17" s="13">
        <f t="shared" si="20"/>
        <v>19955.82916297795</v>
      </c>
      <c r="AR17" s="13">
        <f t="shared" si="21"/>
        <v>151.2828461779145</v>
      </c>
      <c r="AS17" s="8">
        <f>0.439*'(2) Free LF earnings 1800'!BK17</f>
        <v>94.67913</v>
      </c>
      <c r="AT17" s="13">
        <f t="shared" si="22"/>
        <v>14323.328260048771</v>
      </c>
      <c r="AU17" s="13">
        <f t="shared" si="23"/>
        <v>1588.4698848681023</v>
      </c>
      <c r="AV17" s="8">
        <f>0.439*'(2) Free LF earnings 1800'!BN17</f>
        <v>80.7076916</v>
      </c>
      <c r="AW17" s="13">
        <f t="shared" si="24"/>
        <v>128201.73758382231</v>
      </c>
    </row>
    <row r="18" spans="1:49" ht="13.5">
      <c r="A18" t="s">
        <v>68</v>
      </c>
      <c r="B18" s="13">
        <v>1037.7</v>
      </c>
      <c r="C18" s="30">
        <f t="shared" si="28"/>
        <v>84.94561062490418</v>
      </c>
      <c r="D18" s="13">
        <f>H18+P18+AB18+AN18</f>
        <v>88148.06014546307</v>
      </c>
      <c r="E18" s="13"/>
      <c r="F18" s="13">
        <v>838</v>
      </c>
      <c r="G18" s="8">
        <f>0.401*'(2) Free LF earnings 1800'!G18</f>
        <v>79.02908000000001</v>
      </c>
      <c r="H18" s="13">
        <f t="shared" si="3"/>
        <v>66226.36904</v>
      </c>
      <c r="J18" s="13">
        <v>200.25900000000001</v>
      </c>
      <c r="K18" s="8">
        <f t="shared" si="25"/>
        <v>109.46669615579354</v>
      </c>
      <c r="L18" s="13">
        <f t="shared" si="4"/>
        <v>21921.691105463062</v>
      </c>
      <c r="M18" s="13"/>
      <c r="N18" s="13">
        <v>65</v>
      </c>
      <c r="O18" s="8">
        <f t="shared" si="31"/>
        <v>149.5275251131</v>
      </c>
      <c r="P18" s="13">
        <f t="shared" si="5"/>
        <v>9719.289132351501</v>
      </c>
      <c r="Q18">
        <f t="shared" si="29"/>
        <v>11.05</v>
      </c>
      <c r="R18" s="8">
        <f>0.523*'(2) Free LF earnings 1800'!X18</f>
        <v>261.9184</v>
      </c>
      <c r="S18" s="13">
        <f t="shared" si="7"/>
        <v>2894.1983200000004</v>
      </c>
      <c r="T18">
        <f>0.34*N18*0.5</f>
        <v>11.05</v>
      </c>
      <c r="U18" s="8">
        <f>0.523*'(2) Free LF earnings 1800'!AA18</f>
        <v>207.56113243</v>
      </c>
      <c r="V18" s="13">
        <f t="shared" si="9"/>
        <v>2293.5505133515</v>
      </c>
      <c r="W18" s="13">
        <f t="shared" si="10"/>
        <v>42.900000000000006</v>
      </c>
      <c r="X18" s="8">
        <f>0.523*'(2) Free LF earnings 1800'!AG18</f>
        <v>105.63031000000001</v>
      </c>
      <c r="Y18" s="13">
        <f t="shared" si="11"/>
        <v>4531.540299000001</v>
      </c>
      <c r="Z18" s="13">
        <f t="shared" si="1"/>
        <v>42.6392125</v>
      </c>
      <c r="AA18" s="27">
        <f t="shared" si="26"/>
        <v>99.541170144</v>
      </c>
      <c r="AB18" s="13">
        <f t="shared" si="12"/>
        <v>4244.3571062686715</v>
      </c>
      <c r="AC18" s="13">
        <f t="shared" si="13"/>
        <v>3.411137</v>
      </c>
      <c r="AD18" s="8">
        <f>0.471*'(2) Free LF earnings 1800'!AP18</f>
        <v>181.62702</v>
      </c>
      <c r="AE18" s="13">
        <f t="shared" si="14"/>
        <v>619.55464812174</v>
      </c>
      <c r="AF18" s="13">
        <f t="shared" si="15"/>
        <v>3.411137</v>
      </c>
      <c r="AG18" s="8">
        <f>0.471*'(2) Free LF earnings 1800'!AS18</f>
        <v>130.36337999999998</v>
      </c>
      <c r="AH18" s="13">
        <f t="shared" si="16"/>
        <v>444.68734896305995</v>
      </c>
      <c r="AI18" s="13">
        <f t="shared" si="17"/>
        <v>35.816938500000006</v>
      </c>
      <c r="AJ18" s="8">
        <f>0.471*'(2) Free LF earnings 1800'!AY18</f>
        <v>88.7880216</v>
      </c>
      <c r="AK18" s="13">
        <f t="shared" si="30"/>
        <v>3180.115109183872</v>
      </c>
      <c r="AL18" s="13">
        <v>92.61978750000002</v>
      </c>
      <c r="AM18" s="8">
        <f t="shared" si="27"/>
        <v>85.92164894400001</v>
      </c>
      <c r="AN18" s="13">
        <f t="shared" si="18"/>
        <v>7958.044866842882</v>
      </c>
      <c r="AO18" s="13">
        <f t="shared" si="19"/>
        <v>7.409583000000001</v>
      </c>
      <c r="AP18" s="8">
        <f>0.439*'(2) Free LF earnings 1800'!BH18</f>
        <v>131.91072</v>
      </c>
      <c r="AQ18" s="13">
        <f t="shared" si="20"/>
        <v>977.4034284297602</v>
      </c>
      <c r="AR18" s="13">
        <f t="shared" si="21"/>
        <v>7.409583000000001</v>
      </c>
      <c r="AS18" s="8">
        <f>0.439*'(2) Free LF earnings 1800'!BK18</f>
        <v>94.67913</v>
      </c>
      <c r="AT18" s="13">
        <f t="shared" si="22"/>
        <v>701.5328721027902</v>
      </c>
      <c r="AU18" s="13">
        <f t="shared" si="23"/>
        <v>77.80062150000002</v>
      </c>
      <c r="AV18" s="8">
        <f>0.439*'(2) Free LF earnings 1800'!BN18</f>
        <v>80.7076916</v>
      </c>
      <c r="AW18" s="13">
        <f t="shared" si="24"/>
        <v>6279.108566310331</v>
      </c>
    </row>
    <row r="19" spans="1:49" ht="13.5">
      <c r="A19" s="9" t="s">
        <v>69</v>
      </c>
      <c r="B19" s="13">
        <f>SUM(B16:B18)</f>
        <v>20959.13084311633</v>
      </c>
      <c r="C19" s="31">
        <f t="shared" si="28"/>
        <v>85.69531884661404</v>
      </c>
      <c r="D19" s="13">
        <f>H19+P19+AB19+AN19</f>
        <v>1796099.4003487565</v>
      </c>
      <c r="E19" s="32"/>
      <c r="F19" s="13">
        <f>SUM(F16:F18)</f>
        <v>15574.070909284954</v>
      </c>
      <c r="G19" s="8">
        <f>H19/F19</f>
        <v>77.20405421861663</v>
      </c>
      <c r="H19" s="13">
        <f>SUM(H16:H18)</f>
        <v>1202381.4148850157</v>
      </c>
      <c r="J19" s="13">
        <f>SUM(J16:J18)</f>
        <v>5386.170933831376</v>
      </c>
      <c r="K19" s="8">
        <f t="shared" si="25"/>
        <v>110.23006747418763</v>
      </c>
      <c r="L19" s="13">
        <f t="shared" si="4"/>
        <v>593717.9854637408</v>
      </c>
      <c r="M19" s="13"/>
      <c r="N19" s="14">
        <f>SUM(N16:N18)</f>
        <v>1840</v>
      </c>
      <c r="O19" s="8">
        <f t="shared" si="31"/>
        <v>149.30132782912176</v>
      </c>
      <c r="P19" s="13">
        <f t="shared" si="5"/>
        <v>274714.443205584</v>
      </c>
      <c r="Q19">
        <f t="shared" si="29"/>
        <v>312.8</v>
      </c>
      <c r="R19" s="8">
        <f>S19/Q19</f>
        <v>261.91839999999996</v>
      </c>
      <c r="S19" s="41">
        <f>SUM(S16:S18)</f>
        <v>81928.07552</v>
      </c>
      <c r="T19">
        <f>0.34*N19*0.5</f>
        <v>312.8</v>
      </c>
      <c r="U19" s="8">
        <f>V19/T19</f>
        <v>206.2305601713043</v>
      </c>
      <c r="V19" s="13">
        <f>SUM(V16:V18)</f>
        <v>64508.91922158399</v>
      </c>
      <c r="W19" s="13">
        <f t="shared" si="10"/>
        <v>1214.4</v>
      </c>
      <c r="X19" s="8">
        <f>Y19/W19</f>
        <v>105.63031000000001</v>
      </c>
      <c r="Y19" s="13">
        <f>SUM(Y16:Y18)</f>
        <v>128277.44846400002</v>
      </c>
      <c r="Z19" s="13">
        <f t="shared" si="1"/>
        <v>1050.7482587626178</v>
      </c>
      <c r="AA19" s="27">
        <f t="shared" si="26"/>
        <v>99.54117014399995</v>
      </c>
      <c r="AB19" s="13">
        <f t="shared" si="12"/>
        <v>104592.71120400142</v>
      </c>
      <c r="AC19" s="13">
        <f t="shared" si="13"/>
        <v>84.05986070100943</v>
      </c>
      <c r="AD19" s="8">
        <f>AE19/AC19</f>
        <v>181.6270199999999</v>
      </c>
      <c r="AE19" s="13">
        <f>SUM(AE16:AE18)</f>
        <v>15267.542000739446</v>
      </c>
      <c r="AF19" s="13">
        <f t="shared" si="15"/>
        <v>84.05986070100943</v>
      </c>
      <c r="AG19" s="8">
        <f>AH19/AF19</f>
        <v>130.36337999999992</v>
      </c>
      <c r="AH19" s="14">
        <f>SUM(AH16:AH18)</f>
        <v>10958.32756331275</v>
      </c>
      <c r="AI19" s="13">
        <f t="shared" si="17"/>
        <v>882.6285373605988</v>
      </c>
      <c r="AJ19" s="8">
        <f>AK19/AI19</f>
        <v>88.78802159999995</v>
      </c>
      <c r="AK19" s="13">
        <f>SUM(AK16:AK18)</f>
        <v>78366.84163994921</v>
      </c>
      <c r="AL19" s="13">
        <f>SUM(AL16:AL18)</f>
        <v>2495.422675068758</v>
      </c>
      <c r="AM19" s="8">
        <f t="shared" si="27"/>
        <v>85.92164894400003</v>
      </c>
      <c r="AN19" s="13">
        <f t="shared" si="18"/>
        <v>214410.83105415528</v>
      </c>
      <c r="AO19" s="13">
        <f t="shared" si="19"/>
        <v>199.63381400550065</v>
      </c>
      <c r="AP19" s="8">
        <f>AQ19/AO19</f>
        <v>131.91072</v>
      </c>
      <c r="AQ19" s="13">
        <f>SUM(AQ16:AQ18)</f>
        <v>26333.840141811677</v>
      </c>
      <c r="AR19" s="13">
        <f t="shared" si="21"/>
        <v>199.63381400550065</v>
      </c>
      <c r="AS19" s="42">
        <f>AT19/AR19</f>
        <v>94.67913000000001</v>
      </c>
      <c r="AT19" s="13">
        <f>SUM(AT16:AT18)</f>
        <v>18901.15582862262</v>
      </c>
      <c r="AU19" s="13">
        <f t="shared" si="23"/>
        <v>2096.1550470577567</v>
      </c>
      <c r="AV19" s="8">
        <f>AW19/AU19</f>
        <v>80.70769160000003</v>
      </c>
      <c r="AW19" s="13">
        <f>SUM(AW16:AW18)</f>
        <v>169175.83508372097</v>
      </c>
    </row>
    <row r="20" spans="1:63" ht="13.5">
      <c r="A20" s="9" t="s">
        <v>127</v>
      </c>
      <c r="B20" s="13">
        <f>B19+B23</f>
        <v>24738.230843116333</v>
      </c>
      <c r="C20" s="31">
        <f t="shared" si="28"/>
        <v>84.72180066702511</v>
      </c>
      <c r="D20" s="13">
        <f>D19+D23</f>
        <v>2095867.4623453543</v>
      </c>
      <c r="E20" s="13"/>
      <c r="F20" s="13">
        <f>F19+F23</f>
        <v>18803.101909284953</v>
      </c>
      <c r="G20" s="8">
        <f>H20/F20</f>
        <v>77.16763843738558</v>
      </c>
      <c r="H20" s="13">
        <f>H19+H23</f>
        <v>1450990.9696370156</v>
      </c>
      <c r="I20" s="13"/>
      <c r="J20" s="13">
        <f>J19+J23</f>
        <v>5936.239933831376</v>
      </c>
      <c r="K20" s="8">
        <f t="shared" si="25"/>
        <v>108.63383217263616</v>
      </c>
      <c r="L20" s="13">
        <f>L19+L23</f>
        <v>644876.4927083385</v>
      </c>
      <c r="M20" s="13"/>
      <c r="N20" s="13">
        <f>N19+N23</f>
        <v>1840</v>
      </c>
      <c r="O20" s="8">
        <f t="shared" si="31"/>
        <v>149.30132782912176</v>
      </c>
      <c r="P20" s="13">
        <f>P19+P23</f>
        <v>274714.443205584</v>
      </c>
      <c r="Q20" s="13">
        <f>Q19+Q23</f>
        <v>312.8</v>
      </c>
      <c r="R20" s="8">
        <f>S20/Q20</f>
        <v>261.91839999999996</v>
      </c>
      <c r="S20" s="13">
        <f>S19+S23</f>
        <v>81928.07552</v>
      </c>
      <c r="T20" s="13">
        <f>T19+T23</f>
        <v>312.8</v>
      </c>
      <c r="U20" s="8">
        <f>V20/T20</f>
        <v>206.2305601713043</v>
      </c>
      <c r="V20" s="13">
        <f>V19+V23</f>
        <v>64508.91922158399</v>
      </c>
      <c r="W20" s="13">
        <f>W19+W23</f>
        <v>1214.4</v>
      </c>
      <c r="X20" s="8">
        <f>Y20/W20</f>
        <v>105.63031000000001</v>
      </c>
      <c r="Y20" s="13">
        <f>Y19+Y23</f>
        <v>128277.44846400002</v>
      </c>
      <c r="Z20" s="13">
        <f>Z19+Z23</f>
        <v>1336.784138762618</v>
      </c>
      <c r="AA20" s="27">
        <f t="shared" si="26"/>
        <v>99.54117014399995</v>
      </c>
      <c r="AB20" s="13">
        <f>AB19+AB23</f>
        <v>133065.0574023702</v>
      </c>
      <c r="AC20" s="13">
        <f>AC19+AC23</f>
        <v>106.94273110100944</v>
      </c>
      <c r="AD20" s="8">
        <f>AE20/AC20</f>
        <v>181.62701999999993</v>
      </c>
      <c r="AE20" s="13">
        <f>AE19+AE23</f>
        <v>19423.689560537656</v>
      </c>
      <c r="AF20" s="13">
        <f>AF19+AF23</f>
        <v>106.94273110100944</v>
      </c>
      <c r="AG20" s="8">
        <f>AH20/AF20</f>
        <v>130.36337999999992</v>
      </c>
      <c r="AH20" s="13">
        <f>AH19+AH23</f>
        <v>13941.415892758705</v>
      </c>
      <c r="AI20" s="13">
        <f>AI19+AI23</f>
        <v>1122.898676560599</v>
      </c>
      <c r="AJ20" s="8">
        <f>AK20/AI20</f>
        <v>88.78802159999998</v>
      </c>
      <c r="AK20" s="13">
        <f>AK19+AK23</f>
        <v>99699.95194907385</v>
      </c>
      <c r="AL20" s="13">
        <f>AL19+AL23</f>
        <v>2759.455795068758</v>
      </c>
      <c r="AM20" s="8">
        <f t="shared" si="27"/>
        <v>85.92164894400003</v>
      </c>
      <c r="AN20" s="13">
        <f>AN19+AN23</f>
        <v>237096.99210038432</v>
      </c>
      <c r="AO20" s="13">
        <f>AO19+AO23</f>
        <v>220.75646360550067</v>
      </c>
      <c r="AP20" s="8">
        <f>AQ20/AO20</f>
        <v>131.91072000000003</v>
      </c>
      <c r="AQ20" s="13">
        <f>AQ19+AQ23</f>
        <v>29120.144058855392</v>
      </c>
      <c r="AR20" s="13">
        <f>AR19+AR23</f>
        <v>220.75646360550067</v>
      </c>
      <c r="AS20" s="42">
        <f>AT20/AR20</f>
        <v>94.67913000000001</v>
      </c>
      <c r="AT20" s="13">
        <f>AT19+AT23</f>
        <v>20901.02991604547</v>
      </c>
      <c r="AU20" s="13">
        <f>AU19+AU23</f>
        <v>2317.942867857757</v>
      </c>
      <c r="AV20" s="8">
        <f>AW20/AU20</f>
        <v>80.70769160000003</v>
      </c>
      <c r="AW20" s="13">
        <f>AW19+AW23</f>
        <v>187075.81812548346</v>
      </c>
      <c r="AX20" s="13"/>
      <c r="AY20" s="13"/>
      <c r="AZ20" s="13"/>
      <c r="BA20" s="13"/>
      <c r="BB20" s="13"/>
      <c r="BC20" s="13"/>
      <c r="BD20" s="13"/>
      <c r="BE20" s="13"/>
      <c r="BF20" s="13"/>
      <c r="BG20" s="13"/>
      <c r="BH20" s="13"/>
      <c r="BI20" s="13"/>
      <c r="BJ20" s="13"/>
      <c r="BK20" s="13"/>
    </row>
    <row r="21" spans="1:63" ht="13.5">
      <c r="A21" s="9" t="s">
        <v>126</v>
      </c>
      <c r="B21" s="13">
        <f>B19+B23+B24+B26</f>
        <v>88434.83084311633</v>
      </c>
      <c r="C21" s="31">
        <f t="shared" si="28"/>
        <v>83.01465570228783</v>
      </c>
      <c r="D21" s="13">
        <f>D19+D23+D24+D26</f>
        <v>7341387.034531367</v>
      </c>
      <c r="E21" s="13"/>
      <c r="F21" s="13">
        <f>F19+F23+F24+F26</f>
        <v>70797.10190928495</v>
      </c>
      <c r="G21" s="8">
        <f>H21/F21</f>
        <v>75.26977031722453</v>
      </c>
      <c r="H21" s="13">
        <f>H19+H23+H24+H26</f>
        <v>5328881.599837016</v>
      </c>
      <c r="I21" s="13"/>
      <c r="J21" s="13">
        <f>J19+J23+J24+J26</f>
        <v>17639.21193383138</v>
      </c>
      <c r="K21" s="8">
        <f t="shared" si="25"/>
        <v>114.09270676284793</v>
      </c>
      <c r="L21" s="13">
        <f>L19+L23+L24+L26</f>
        <v>2012505.4346943512</v>
      </c>
      <c r="M21" s="13"/>
      <c r="N21" s="13">
        <f>N19+N23+N24+N26</f>
        <v>7575</v>
      </c>
      <c r="O21" s="8">
        <f t="shared" si="31"/>
        <v>148.15204721972842</v>
      </c>
      <c r="P21" s="13">
        <f>P19+P23+P24+P26</f>
        <v>1122251.7576894427</v>
      </c>
      <c r="Q21" s="13">
        <f>Q19+Q23+Q24+Q26</f>
        <v>1287.75</v>
      </c>
      <c r="R21" s="8">
        <f>S21/Q21</f>
        <v>261.9184</v>
      </c>
      <c r="S21" s="13">
        <f>S19+S23+S24+S26</f>
        <v>337285.4196</v>
      </c>
      <c r="T21" s="13">
        <f>T19+T23+T24+T26</f>
        <v>1287.75</v>
      </c>
      <c r="U21" s="8">
        <f>V21/T21</f>
        <v>199.4777723012561</v>
      </c>
      <c r="V21" s="13">
        <f>V19+V23+V24+V26</f>
        <v>256877.50128094255</v>
      </c>
      <c r="W21" s="13">
        <f>W19+W23+W24+W26</f>
        <v>4999.5</v>
      </c>
      <c r="X21" s="8">
        <f>Y21/W21</f>
        <v>105.6283301947195</v>
      </c>
      <c r="Y21" s="13">
        <f>Y19+Y23+Y24+Y26</f>
        <v>528088.8368085001</v>
      </c>
      <c r="Z21" s="13">
        <f>Z19+Z23+Z24+Z26</f>
        <v>1873.7167005197248</v>
      </c>
      <c r="AA21" s="27">
        <f t="shared" si="26"/>
        <v>99.54163339584127</v>
      </c>
      <c r="AB21" s="13">
        <f>AB19+AB23+AB24+AB26</f>
        <v>186512.82089079975</v>
      </c>
      <c r="AC21" s="13">
        <f>AC19+AC23+AC24+AC26</f>
        <v>149.897336041578</v>
      </c>
      <c r="AD21" s="8">
        <f>AE21/AC21</f>
        <v>181.6270199999999</v>
      </c>
      <c r="AE21" s="13">
        <f>AE19+AE23+AE24+AE26</f>
        <v>27225.406451170395</v>
      </c>
      <c r="AF21" s="13">
        <f>AF19+AF23+AF24+AF26</f>
        <v>149.897336041578</v>
      </c>
      <c r="AG21" s="8">
        <f>AH21/AF21</f>
        <v>130.36337999999992</v>
      </c>
      <c r="AH21" s="13">
        <f>AH19+AH23+AH24+AH26</f>
        <v>19541.123379375917</v>
      </c>
      <c r="AI21" s="13">
        <f>AI19+AI23+AI24+AI26</f>
        <v>1573.9220284365686</v>
      </c>
      <c r="AJ21" s="8">
        <f>AK21/AI21</f>
        <v>88.78857309028723</v>
      </c>
      <c r="AK21" s="13">
        <f>AK19+AK23+AK24+AK26</f>
        <v>139746.2910602534</v>
      </c>
      <c r="AL21" s="13">
        <f>AL19+AL23+AL24+AL26</f>
        <v>8190.495233311654</v>
      </c>
      <c r="AM21" s="8">
        <f t="shared" si="27"/>
        <v>85.921648944</v>
      </c>
      <c r="AN21" s="13">
        <f>AN19+AN23+AN24+AN26</f>
        <v>703740.8561141093</v>
      </c>
      <c r="AO21" s="13">
        <f>AO19+AO23+AO24+AO26</f>
        <v>655.2396186649323</v>
      </c>
      <c r="AP21" s="8">
        <f>AQ21/AO21</f>
        <v>131.91072</v>
      </c>
      <c r="AQ21" s="13">
        <f>AQ19+AQ23+AQ24+AQ26</f>
        <v>86433.12987061666</v>
      </c>
      <c r="AR21" s="13">
        <f>AR19+AR23+AR24+AR26</f>
        <v>655.2396186649323</v>
      </c>
      <c r="AS21" s="42">
        <f>AT21/AR21</f>
        <v>94.67913</v>
      </c>
      <c r="AT21" s="13">
        <f>AT19+AT23+AT24+AT26</f>
        <v>62037.51703672756</v>
      </c>
      <c r="AU21" s="13">
        <f>AU19+AU23+AU24+AU26</f>
        <v>6880.015995981789</v>
      </c>
      <c r="AV21" s="8">
        <f>AW21/AU21</f>
        <v>80.70769160000002</v>
      </c>
      <c r="AW21" s="13">
        <f>AW19+AW23+AW24+AW26</f>
        <v>555270.2092067652</v>
      </c>
      <c r="AX21" s="13"/>
      <c r="AY21" s="13"/>
      <c r="AZ21" s="13"/>
      <c r="BA21" s="13"/>
      <c r="BB21" s="13"/>
      <c r="BC21" s="13"/>
      <c r="BD21" s="13"/>
      <c r="BE21" s="13"/>
      <c r="BF21" s="13"/>
      <c r="BG21" s="13"/>
      <c r="BH21" s="13"/>
      <c r="BI21" s="13"/>
      <c r="BJ21" s="13"/>
      <c r="BK21" s="13"/>
    </row>
    <row r="22" spans="1:49" ht="18">
      <c r="A22" s="9"/>
      <c r="C22" s="3"/>
      <c r="D22" s="13"/>
      <c r="E22" s="13"/>
      <c r="G22" s="23"/>
      <c r="H22" s="13"/>
      <c r="K22" s="8"/>
      <c r="L22" s="13"/>
      <c r="N22" s="12"/>
      <c r="O22" s="8"/>
      <c r="P22" s="13"/>
      <c r="R22" s="8"/>
      <c r="S22" s="13"/>
      <c r="U22" s="3"/>
      <c r="V22" s="13"/>
      <c r="W22" s="13"/>
      <c r="X22" s="8"/>
      <c r="Y22" s="13"/>
      <c r="Z22" s="13"/>
      <c r="AA22" s="27"/>
      <c r="AB22" s="13"/>
      <c r="AC22" s="13"/>
      <c r="AE22" s="13"/>
      <c r="AF22" s="13"/>
      <c r="AH22" s="13"/>
      <c r="AI22" s="13"/>
      <c r="AJ22" s="8"/>
      <c r="AK22" s="13"/>
      <c r="AM22" s="8"/>
      <c r="AN22" s="13"/>
      <c r="AO22" s="13"/>
      <c r="AQ22" s="13"/>
      <c r="AR22" s="13"/>
      <c r="AT22" s="13"/>
      <c r="AU22" s="13"/>
      <c r="AV22" s="8"/>
      <c r="AW22" s="13"/>
    </row>
    <row r="23" spans="1:49" ht="13.5">
      <c r="A23" t="s">
        <v>63</v>
      </c>
      <c r="B23" s="13">
        <v>3779.1000000000004</v>
      </c>
      <c r="C23" s="30">
        <f>D23/B23</f>
        <v>79.32260643978665</v>
      </c>
      <c r="D23" s="13">
        <f>H23+P23+AB23+AN23</f>
        <v>299768.0619965978</v>
      </c>
      <c r="E23" s="13"/>
      <c r="F23" s="13">
        <v>3229.031</v>
      </c>
      <c r="G23" s="8">
        <f>0.401*'(2) Free LF earnings 1800'!G23</f>
        <v>76.992</v>
      </c>
      <c r="H23" s="13">
        <f>F23*G23</f>
        <v>248609.554752</v>
      </c>
      <c r="J23" s="13">
        <v>550.0690000000004</v>
      </c>
      <c r="K23" s="8">
        <f>L23/J23</f>
        <v>93.00379996799994</v>
      </c>
      <c r="L23" s="13">
        <f>D23-H23</f>
        <v>51158.5072445978</v>
      </c>
      <c r="M23" s="13"/>
      <c r="N23" s="13">
        <v>0</v>
      </c>
      <c r="O23" s="8">
        <v>0</v>
      </c>
      <c r="P23" s="13">
        <f>S23+V23+Y23</f>
        <v>0</v>
      </c>
      <c r="Q23">
        <f>0.16*N23*0.5</f>
        <v>0</v>
      </c>
      <c r="R23" s="8">
        <f>0.523*'(2) Free LF earnings 1800'!X23</f>
        <v>0</v>
      </c>
      <c r="S23" s="13">
        <f>Q23*R23</f>
        <v>0</v>
      </c>
      <c r="T23">
        <f>0.16*N23*0.5</f>
        <v>0</v>
      </c>
      <c r="U23" s="8">
        <f>0.523*'(2) Free LF earnings 1800'!AA23</f>
        <v>0</v>
      </c>
      <c r="V23" s="13">
        <f>T23*U23</f>
        <v>0</v>
      </c>
      <c r="W23" s="13">
        <f>N23-Q23-T23</f>
        <v>0</v>
      </c>
      <c r="X23" s="8">
        <f>0.523*'(2) Free LF earnings 1800'!AG23</f>
        <v>0</v>
      </c>
      <c r="Y23" s="13">
        <f>W23*X23</f>
        <v>0</v>
      </c>
      <c r="Z23" s="13">
        <f>J23-AL23-N23</f>
        <v>286.03588000000025</v>
      </c>
      <c r="AA23" s="27">
        <f>AB23/Z23</f>
        <v>99.541170144</v>
      </c>
      <c r="AB23" s="13">
        <f>AE23+AH23+AK23</f>
        <v>28472.346198368792</v>
      </c>
      <c r="AC23" s="13">
        <f>0.16*0.5*Z23</f>
        <v>22.88287040000002</v>
      </c>
      <c r="AD23" s="8">
        <f>0.471*'(2) Free LF earnings 1800'!AP23</f>
        <v>181.62702</v>
      </c>
      <c r="AE23" s="13">
        <f>AC23*AD23</f>
        <v>4156.147559798212</v>
      </c>
      <c r="AF23" s="13">
        <f>0.16*0.5*Z23</f>
        <v>22.88287040000002</v>
      </c>
      <c r="AG23" s="8">
        <f>0.471*'(2) Free LF earnings 1800'!AS23</f>
        <v>130.36337999999998</v>
      </c>
      <c r="AH23" s="13">
        <f aca="true" t="shared" si="32" ref="AH23:AH29">AF23*AG23</f>
        <v>2983.088329445954</v>
      </c>
      <c r="AI23" s="13">
        <f>Z23-AC23-AF23</f>
        <v>240.27013920000022</v>
      </c>
      <c r="AJ23" s="8">
        <f>0.471*'(2) Free LF earnings 1800'!AY23</f>
        <v>88.7880216</v>
      </c>
      <c r="AK23" s="13">
        <f>AI23*AJ23</f>
        <v>21333.110309124626</v>
      </c>
      <c r="AL23" s="13">
        <v>264.03312000000017</v>
      </c>
      <c r="AM23" s="8">
        <f>AN23/AL23</f>
        <v>85.92164894400001</v>
      </c>
      <c r="AN23" s="13">
        <f>AT23+AW23+AQ23</f>
        <v>22686.16104622904</v>
      </c>
      <c r="AO23" s="13">
        <f>AL23*0.16*0.5</f>
        <v>21.122649600000013</v>
      </c>
      <c r="AP23" s="8">
        <f>0.439*'(2) Free LF earnings 1800'!BH23</f>
        <v>131.91072</v>
      </c>
      <c r="AQ23" s="13">
        <f>AO23*AP23</f>
        <v>2786.3039170437137</v>
      </c>
      <c r="AR23" s="13">
        <f>AL23*0.16*0.5</f>
        <v>21.122649600000013</v>
      </c>
      <c r="AS23" s="8">
        <f>0.439*'(2) Free LF earnings 1800'!BK23</f>
        <v>94.67913</v>
      </c>
      <c r="AT23" s="13">
        <f aca="true" t="shared" si="33" ref="AT23:AT29">AR23*AS23</f>
        <v>1999.8740874228492</v>
      </c>
      <c r="AU23" s="13">
        <f>AL23-AO23-AR23</f>
        <v>221.78782080000013</v>
      </c>
      <c r="AV23" s="8">
        <f>0.439*'(2) Free LF earnings 1800'!BN23</f>
        <v>80.7076916</v>
      </c>
      <c r="AW23" s="13">
        <f>AU23*AV23</f>
        <v>17899.983041762476</v>
      </c>
    </row>
    <row r="24" spans="1:49" ht="13.5">
      <c r="A24" t="s">
        <v>64</v>
      </c>
      <c r="B24" s="13">
        <v>1367.1</v>
      </c>
      <c r="C24" s="30">
        <f>D24/B24</f>
        <v>86.0982005632048</v>
      </c>
      <c r="D24" s="13">
        <f>H24+P24+AB24+AN24</f>
        <v>117704.84998995728</v>
      </c>
      <c r="E24" s="13"/>
      <c r="F24" s="13">
        <v>334</v>
      </c>
      <c r="G24" s="8">
        <f>0.401*'(2) Free LF earnings 1800'!G24</f>
        <v>64.88180000000001</v>
      </c>
      <c r="H24" s="13">
        <f>F24*G24</f>
        <v>21670.521200000003</v>
      </c>
      <c r="J24" s="13">
        <v>1032.585</v>
      </c>
      <c r="K24" s="8">
        <f>L24/J24</f>
        <v>93.003799968</v>
      </c>
      <c r="L24" s="13">
        <f>D24-H24</f>
        <v>96034.32878995728</v>
      </c>
      <c r="M24" s="13"/>
      <c r="N24" s="13">
        <v>0</v>
      </c>
      <c r="O24" s="8">
        <v>0</v>
      </c>
      <c r="P24" s="13">
        <f>S24+V24+Y24</f>
        <v>0</v>
      </c>
      <c r="Q24">
        <f>0.16*N24*0.5</f>
        <v>0</v>
      </c>
      <c r="R24" s="8">
        <f>0.523*'(2) Free LF earnings 1800'!X24</f>
        <v>0</v>
      </c>
      <c r="S24" s="13">
        <f>Q24*R24</f>
        <v>0</v>
      </c>
      <c r="T24">
        <f>0.16*N24*0.5</f>
        <v>0</v>
      </c>
      <c r="U24" s="8">
        <f>0.523*'(2) Free LF earnings 1800'!AA24</f>
        <v>0</v>
      </c>
      <c r="V24" s="13">
        <f>T24*U24</f>
        <v>0</v>
      </c>
      <c r="W24" s="13">
        <f>N24-Q24-T24</f>
        <v>0</v>
      </c>
      <c r="X24" s="8">
        <f>0.523*'(2) Free LF earnings 1800'!AG24</f>
        <v>0</v>
      </c>
      <c r="Y24" s="13">
        <f>W24*X24</f>
        <v>0</v>
      </c>
      <c r="Z24" s="13">
        <f>J24-AL24-N24</f>
        <v>536.9442</v>
      </c>
      <c r="AA24" s="27">
        <f>AB24/Z24</f>
        <v>99.54117014399999</v>
      </c>
      <c r="AB24" s="13">
        <f>AE24+AH24+AK24</f>
        <v>53448.053970033965</v>
      </c>
      <c r="AC24" s="13">
        <f>0.16*0.5*Z24</f>
        <v>42.955536</v>
      </c>
      <c r="AD24" s="8">
        <f>0.471*'(2) Free LF earnings 1800'!AP24</f>
        <v>181.62702</v>
      </c>
      <c r="AE24" s="13">
        <f>AC24*AD24</f>
        <v>7801.88599618272</v>
      </c>
      <c r="AF24" s="13">
        <f>0.16*0.5*Z24</f>
        <v>42.955536</v>
      </c>
      <c r="AG24" s="8">
        <f>0.471*'(2) Free LF earnings 1800'!AS24</f>
        <v>130.36337999999998</v>
      </c>
      <c r="AH24" s="13">
        <f t="shared" si="32"/>
        <v>5599.828862671679</v>
      </c>
      <c r="AI24" s="13">
        <f>Z24-AC24-AF24</f>
        <v>451.03312800000003</v>
      </c>
      <c r="AJ24" s="8">
        <f>0.471*'(2) Free LF earnings 1800'!AY24</f>
        <v>88.7880216</v>
      </c>
      <c r="AK24" s="13">
        <f>AI24*AJ24</f>
        <v>40046.339111179564</v>
      </c>
      <c r="AL24" s="13">
        <v>495.6408</v>
      </c>
      <c r="AM24" s="8">
        <f>AN24/AL24</f>
        <v>85.921648944</v>
      </c>
      <c r="AN24" s="13">
        <f>AT24+AW24+AQ24</f>
        <v>42586.27481992332</v>
      </c>
      <c r="AO24" s="13">
        <f>AL24*0.16*0.5</f>
        <v>39.651264000000005</v>
      </c>
      <c r="AP24" s="8">
        <f>0.439*'(2) Free LF earnings 1800'!BH24</f>
        <v>131.91072</v>
      </c>
      <c r="AQ24" s="13">
        <f>AO24*AP24</f>
        <v>5230.42678315008</v>
      </c>
      <c r="AR24" s="13">
        <f>AL24*0.16*0.5</f>
        <v>39.651264000000005</v>
      </c>
      <c r="AS24" s="8">
        <f>0.439*'(2) Free LF earnings 1800'!BK24</f>
        <v>94.67913</v>
      </c>
      <c r="AT24" s="13">
        <f t="shared" si="33"/>
        <v>3754.1471789203206</v>
      </c>
      <c r="AU24" s="13">
        <f>AL24-AO24-AR24</f>
        <v>416.33827199999996</v>
      </c>
      <c r="AV24" s="8">
        <f>0.439*'(2) Free LF earnings 1800'!BN24</f>
        <v>80.7076916</v>
      </c>
      <c r="AW24" s="13">
        <f>AU24*AV24</f>
        <v>33601.70085785291</v>
      </c>
    </row>
    <row r="25" spans="1:49" ht="13.5">
      <c r="A25" t="s">
        <v>70</v>
      </c>
      <c r="B25" s="13">
        <v>35099.39655270608</v>
      </c>
      <c r="C25" s="30">
        <f t="shared" si="28"/>
        <v>80.5719647563668</v>
      </c>
      <c r="D25" s="13">
        <f aca="true" t="shared" si="34" ref="D25:D30">H25+P25+AB25+AN25</f>
        <v>2828027.3420143765</v>
      </c>
      <c r="E25" s="13"/>
      <c r="F25" s="13">
        <v>28690.105387812193</v>
      </c>
      <c r="G25" s="8">
        <f>0.414*'(2) Free LF earnings 1800'!G25</f>
        <v>77.55462</v>
      </c>
      <c r="H25" s="13">
        <f t="shared" si="3"/>
        <v>2225050.2211117274</v>
      </c>
      <c r="J25" s="13">
        <v>6409.291164893886</v>
      </c>
      <c r="K25" s="8">
        <f t="shared" si="25"/>
        <v>94.07859705381823</v>
      </c>
      <c r="L25" s="13">
        <f t="shared" si="4"/>
        <v>602977.1209026491</v>
      </c>
      <c r="M25" s="13"/>
      <c r="N25" s="13">
        <v>0</v>
      </c>
      <c r="O25" s="8">
        <v>0</v>
      </c>
      <c r="P25" s="13">
        <f t="shared" si="5"/>
        <v>0</v>
      </c>
      <c r="Q25">
        <f t="shared" si="29"/>
        <v>0</v>
      </c>
      <c r="R25" s="8">
        <f>0.527*'(2) Free LF earnings 1800'!X25</f>
        <v>0</v>
      </c>
      <c r="S25" s="13">
        <f t="shared" si="7"/>
        <v>0</v>
      </c>
      <c r="T25">
        <f>0.34*N25*0.5</f>
        <v>0</v>
      </c>
      <c r="U25" s="8">
        <f>0.527*'(2) Free LF earnings 1800'!AA25</f>
        <v>0</v>
      </c>
      <c r="V25" s="13">
        <f t="shared" si="9"/>
        <v>0</v>
      </c>
      <c r="W25" s="13">
        <f t="shared" si="10"/>
        <v>0</v>
      </c>
      <c r="X25" s="8">
        <f>0.527*'(2) Free LF earnings 1800'!AG25</f>
        <v>0</v>
      </c>
      <c r="Y25" s="13">
        <f t="shared" si="11"/>
        <v>0</v>
      </c>
      <c r="Z25" s="13">
        <f t="shared" si="1"/>
        <v>3454.3582252350166</v>
      </c>
      <c r="AA25" s="27">
        <f t="shared" si="26"/>
        <v>100.38653039999998</v>
      </c>
      <c r="AB25" s="13">
        <f t="shared" si="12"/>
        <v>346771.036990045</v>
      </c>
      <c r="AC25" s="13">
        <f t="shared" si="13"/>
        <v>276.34865801880136</v>
      </c>
      <c r="AD25" s="8">
        <f>0.475*'(2) Free LF earnings 1800'!AP25</f>
        <v>183.1695</v>
      </c>
      <c r="AE25" s="13">
        <f t="shared" si="14"/>
        <v>50618.645514974836</v>
      </c>
      <c r="AF25" s="13">
        <f t="shared" si="15"/>
        <v>276.34865801880136</v>
      </c>
      <c r="AG25" s="8">
        <f>0.475*'(2) Free LF earnings 1800'!AS25</f>
        <v>131.4705</v>
      </c>
      <c r="AH25" s="13">
        <f t="shared" si="32"/>
        <v>36331.69624406082</v>
      </c>
      <c r="AI25" s="13">
        <f t="shared" si="17"/>
        <v>2901.6609091974137</v>
      </c>
      <c r="AJ25" s="8">
        <f>0.475*'(2) Free LF earnings 1800'!AY25</f>
        <v>89.54205999999999</v>
      </c>
      <c r="AK25" s="13">
        <f t="shared" si="30"/>
        <v>259820.69523100936</v>
      </c>
      <c r="AL25" s="13">
        <v>2954.9329396588696</v>
      </c>
      <c r="AM25" s="8">
        <f t="shared" si="27"/>
        <v>86.70453412800002</v>
      </c>
      <c r="AN25" s="13">
        <f t="shared" si="18"/>
        <v>256206.08391260388</v>
      </c>
      <c r="AO25" s="13">
        <f t="shared" si="19"/>
        <v>236.39463517270957</v>
      </c>
      <c r="AP25" s="8">
        <f>0.443*'(2) Free LF earnings 1800'!BH25</f>
        <v>133.11264</v>
      </c>
      <c r="AQ25" s="13">
        <f t="shared" si="20"/>
        <v>31467.113969676226</v>
      </c>
      <c r="AR25" s="13">
        <f t="shared" si="21"/>
        <v>236.39463517270957</v>
      </c>
      <c r="AS25" s="8">
        <f>0.443*'(2) Free LF earnings 1800'!BK25</f>
        <v>95.54181</v>
      </c>
      <c r="AT25" s="13">
        <f t="shared" si="33"/>
        <v>22585.571318690334</v>
      </c>
      <c r="AU25" s="13">
        <f t="shared" si="23"/>
        <v>2482.1436693134506</v>
      </c>
      <c r="AV25" s="8">
        <f>0.443*'(2) Free LF earnings 1800'!BN25</f>
        <v>81.44306920000001</v>
      </c>
      <c r="AW25" s="13">
        <f t="shared" si="24"/>
        <v>202153.3986242373</v>
      </c>
    </row>
    <row r="26" spans="1:49" ht="13.5">
      <c r="A26" t="s">
        <v>65</v>
      </c>
      <c r="B26" s="13">
        <v>62329.5</v>
      </c>
      <c r="C26" s="30">
        <f>D26/B26</f>
        <v>82.26946666018587</v>
      </c>
      <c r="D26" s="13">
        <f>H26+P26+AB26+AN26</f>
        <v>5127814.722196056</v>
      </c>
      <c r="E26" s="13"/>
      <c r="F26" s="13">
        <v>51660</v>
      </c>
      <c r="G26" s="8">
        <f>0.401*'(2) Free LF earnings 1800'!G26</f>
        <v>74.64615</v>
      </c>
      <c r="H26" s="13">
        <f>F26*G26</f>
        <v>3856220.109</v>
      </c>
      <c r="J26" s="13">
        <v>10670.387000000002</v>
      </c>
      <c r="K26" s="8">
        <f>L26/J26</f>
        <v>119.17043057539104</v>
      </c>
      <c r="L26" s="13">
        <f>D26-H26</f>
        <v>1271594.6131960554</v>
      </c>
      <c r="M26" s="13"/>
      <c r="N26" s="13">
        <v>5735</v>
      </c>
      <c r="O26" s="8">
        <f>P26/N26</f>
        <v>147.78331551593</v>
      </c>
      <c r="P26" s="13">
        <f>S26+V26+Y26</f>
        <v>847537.3144838586</v>
      </c>
      <c r="Q26">
        <f>0.34*N26*0.5</f>
        <v>974.95</v>
      </c>
      <c r="R26" s="8">
        <f>0.523*'(2) Free LF earnings 1800'!X26</f>
        <v>261.9184</v>
      </c>
      <c r="S26" s="13">
        <f>Q26*R26</f>
        <v>255357.34408000004</v>
      </c>
      <c r="T26">
        <f>0.34*N26*0.5</f>
        <v>974.95</v>
      </c>
      <c r="U26" s="8">
        <f>0.523*'(2) Free LF earnings 1800'!AA26</f>
        <v>197.31122832900002</v>
      </c>
      <c r="V26" s="13">
        <f>T26*U26</f>
        <v>192368.58205935857</v>
      </c>
      <c r="W26" s="13">
        <f>N26-Q26-T26</f>
        <v>3785.1000000000004</v>
      </c>
      <c r="X26" s="8">
        <f>0.523*'(2) Free LF earnings 1800'!AG26</f>
        <v>105.627695</v>
      </c>
      <c r="Y26" s="13">
        <f>W26*X26</f>
        <v>399811.38834450004</v>
      </c>
      <c r="Z26" s="13">
        <f>J26-AL26-N26</f>
        <v>-0.011638242893241113</v>
      </c>
      <c r="AA26" s="27">
        <v>0</v>
      </c>
      <c r="AB26" s="13">
        <f>AE26+AH26+AK26</f>
        <v>-0.2904816044447561</v>
      </c>
      <c r="AC26" s="13">
        <f>0.16*0.5*Z26</f>
        <v>-0.000931059431459289</v>
      </c>
      <c r="AD26" s="8">
        <f>0.471*'(2) Free LF earnings 1800'!AP26</f>
        <v>181.62702</v>
      </c>
      <c r="AE26" s="13">
        <f>AC26*AD26</f>
        <v>-0.16910554997884492</v>
      </c>
      <c r="AF26" s="13">
        <f>0.16*0.5*Z26</f>
        <v>-0.000931059431459289</v>
      </c>
      <c r="AG26" s="8">
        <f>0.471*'(2) Free LF earnings 1800'!AS26</f>
        <v>130.36337999999998</v>
      </c>
      <c r="AH26" s="13">
        <f t="shared" si="32"/>
        <v>-0.12137605446591122</v>
      </c>
      <c r="AI26" s="13">
        <f>Z26-AC26-AF26</f>
        <v>-0.009776124030322533</v>
      </c>
      <c r="AJ26" s="8">
        <f>0.471*'(2) Free LF earnings 1800'!AY26</f>
        <v>88.7880216</v>
      </c>
      <c r="AK26" s="13">
        <v>0</v>
      </c>
      <c r="AL26" s="13">
        <v>4935.398638242896</v>
      </c>
      <c r="AM26" s="8">
        <f>AN26/AL26</f>
        <v>85.92164894399998</v>
      </c>
      <c r="AN26" s="13">
        <f>AT26+AW26+AQ26</f>
        <v>424057.5891938017</v>
      </c>
      <c r="AO26" s="13">
        <f>AL26*0.16*0.5</f>
        <v>394.83189105943165</v>
      </c>
      <c r="AP26" s="8">
        <f>0.439*'(2) Free LF earnings 1800'!BH26</f>
        <v>131.91072</v>
      </c>
      <c r="AQ26" s="13">
        <f>AO26*AP26</f>
        <v>52082.55902861119</v>
      </c>
      <c r="AR26" s="13">
        <f>AL26*0.16*0.5</f>
        <v>394.83189105943165</v>
      </c>
      <c r="AS26" s="8">
        <f>0.439*'(2) Free LF earnings 1800'!BK26</f>
        <v>94.67913</v>
      </c>
      <c r="AT26" s="13">
        <f t="shared" si="33"/>
        <v>37382.33994176177</v>
      </c>
      <c r="AU26" s="13">
        <f>AL26-AO26-AR26</f>
        <v>4145.734856124032</v>
      </c>
      <c r="AV26" s="8">
        <f>0.439*'(2) Free LF earnings 1800'!BN26</f>
        <v>80.7076916</v>
      </c>
      <c r="AW26" s="13">
        <f>AU26*AV26</f>
        <v>334592.69022342877</v>
      </c>
    </row>
    <row r="27" spans="1:49" ht="13.5">
      <c r="A27" t="s">
        <v>73</v>
      </c>
      <c r="B27" s="13">
        <v>74202.29999999999</v>
      </c>
      <c r="C27" s="30">
        <f t="shared" si="28"/>
        <v>79.95892265704646</v>
      </c>
      <c r="D27" s="13">
        <f t="shared" si="34"/>
        <v>5933135.966674957</v>
      </c>
      <c r="E27" s="13"/>
      <c r="F27" s="13">
        <v>63401</v>
      </c>
      <c r="G27" s="8">
        <f>0.414*'(2) Free LF earnings 1800'!G27</f>
        <v>77.55462</v>
      </c>
      <c r="H27" s="13">
        <f t="shared" si="3"/>
        <v>4917040.46262</v>
      </c>
      <c r="J27" s="13">
        <v>10800.556999999986</v>
      </c>
      <c r="K27" s="8">
        <f t="shared" si="25"/>
        <v>94.07806505302999</v>
      </c>
      <c r="L27" s="13">
        <f t="shared" si="4"/>
        <v>1016095.5040549571</v>
      </c>
      <c r="M27" s="13"/>
      <c r="N27" s="13">
        <v>0</v>
      </c>
      <c r="O27" s="8">
        <v>0</v>
      </c>
      <c r="P27" s="13">
        <f t="shared" si="5"/>
        <v>0</v>
      </c>
      <c r="Q27">
        <f t="shared" si="29"/>
        <v>0</v>
      </c>
      <c r="R27" s="8">
        <f>0.527*'(2) Free LF earnings 1800'!X27</f>
        <v>0</v>
      </c>
      <c r="S27" s="13">
        <f t="shared" si="7"/>
        <v>0</v>
      </c>
      <c r="T27">
        <f>0.34*N27*0.5</f>
        <v>0</v>
      </c>
      <c r="U27" s="8">
        <f>0.527*'(2) Free LF earnings 1800'!AA27</f>
        <v>0</v>
      </c>
      <c r="V27" s="13">
        <f t="shared" si="9"/>
        <v>0</v>
      </c>
      <c r="W27" s="13">
        <f t="shared" si="10"/>
        <v>0</v>
      </c>
      <c r="X27" s="8">
        <f>0.527*'(2) Free LF earnings 1800'!AG27</f>
        <v>0</v>
      </c>
      <c r="Y27" s="13">
        <f t="shared" si="11"/>
        <v>0</v>
      </c>
      <c r="Z27" s="13">
        <f t="shared" si="1"/>
        <v>5820.659461077837</v>
      </c>
      <c r="AA27" s="27">
        <f t="shared" si="26"/>
        <v>100.38653040000001</v>
      </c>
      <c r="AB27" s="13">
        <f t="shared" si="12"/>
        <v>584315.8079375379</v>
      </c>
      <c r="AC27" s="13">
        <f t="shared" si="13"/>
        <v>465.65275688622694</v>
      </c>
      <c r="AD27" s="8">
        <f>0.475*'(2) Free LF earnings 1800'!AP27</f>
        <v>183.1695</v>
      </c>
      <c r="AE27" s="13">
        <f t="shared" si="14"/>
        <v>85293.38265247174</v>
      </c>
      <c r="AF27" s="13">
        <f t="shared" si="15"/>
        <v>465.65275688622694</v>
      </c>
      <c r="AG27" s="8">
        <f>0.475*'(2) Free LF earnings 1800'!AS27</f>
        <v>131.4705</v>
      </c>
      <c r="AH27" s="13">
        <f t="shared" si="32"/>
        <v>61219.600774210696</v>
      </c>
      <c r="AI27" s="13">
        <f t="shared" si="17"/>
        <v>4889.353947305383</v>
      </c>
      <c r="AJ27" s="8">
        <f>0.475*'(2) Free LF earnings 1800'!AY27</f>
        <v>89.54205999999999</v>
      </c>
      <c r="AK27" s="13">
        <f t="shared" si="30"/>
        <v>437802.8245108554</v>
      </c>
      <c r="AL27" s="13">
        <v>4979.89753892215</v>
      </c>
      <c r="AM27" s="8">
        <f t="shared" si="27"/>
        <v>86.70453412800002</v>
      </c>
      <c r="AN27" s="13">
        <f t="shared" si="18"/>
        <v>431779.6961174188</v>
      </c>
      <c r="AO27" s="13">
        <f t="shared" si="19"/>
        <v>398.39180311377197</v>
      </c>
      <c r="AP27" s="8">
        <f>0.443*'(2) Free LF earnings 1800'!BH27</f>
        <v>133.11264</v>
      </c>
      <c r="AQ27" s="13">
        <f t="shared" si="20"/>
        <v>53030.9846668344</v>
      </c>
      <c r="AR27" s="13">
        <f t="shared" si="21"/>
        <v>398.39180311377197</v>
      </c>
      <c r="AS27" s="8">
        <f>0.443*'(2) Free LF earnings 1800'!BK27</f>
        <v>95.54181</v>
      </c>
      <c r="AT27" s="13">
        <f t="shared" si="33"/>
        <v>38063.07395865341</v>
      </c>
      <c r="AU27" s="13">
        <f t="shared" si="23"/>
        <v>4183.113932694606</v>
      </c>
      <c r="AV27" s="8">
        <f>0.443*'(2) Free LF earnings 1800'!BN27</f>
        <v>81.44306920000001</v>
      </c>
      <c r="AW27" s="13">
        <f t="shared" si="24"/>
        <v>340685.637491931</v>
      </c>
    </row>
    <row r="28" spans="1:49" ht="13.5">
      <c r="A28" t="s">
        <v>74</v>
      </c>
      <c r="B28" s="13">
        <v>88870.5</v>
      </c>
      <c r="C28" s="30">
        <f t="shared" si="28"/>
        <v>81.85279553906739</v>
      </c>
      <c r="D28" s="13">
        <f t="shared" si="34"/>
        <v>7274298.865954688</v>
      </c>
      <c r="E28" s="13"/>
      <c r="F28" s="13">
        <v>70828</v>
      </c>
      <c r="G28" s="8">
        <f>0.414*'(2) Free LF earnings 1800'!G28</f>
        <v>77.55462</v>
      </c>
      <c r="H28" s="13">
        <f t="shared" si="3"/>
        <v>5493038.62536</v>
      </c>
      <c r="J28" s="13">
        <v>18043.293000000005</v>
      </c>
      <c r="K28" s="8">
        <f t="shared" si="25"/>
        <v>98.72146068872723</v>
      </c>
      <c r="L28" s="13">
        <f t="shared" si="4"/>
        <v>1781260.2405946879</v>
      </c>
      <c r="M28" s="13"/>
      <c r="N28" s="13">
        <v>2400</v>
      </c>
      <c r="O28" s="8">
        <f t="shared" si="31"/>
        <v>135.48479364392</v>
      </c>
      <c r="P28" s="13">
        <f t="shared" si="5"/>
        <v>325163.504745408</v>
      </c>
      <c r="Q28">
        <f>0.24*N28*0.5</f>
        <v>288</v>
      </c>
      <c r="R28" s="8">
        <f>0.527*'(2) Free LF earnings 1800'!X28</f>
        <v>263.9216</v>
      </c>
      <c r="S28" s="13">
        <f t="shared" si="7"/>
        <v>76009.4208</v>
      </c>
      <c r="T28">
        <f>0.24*N28*0.5</f>
        <v>288</v>
      </c>
      <c r="U28" s="8">
        <f>0.527*'(2) Free LF earnings 1800'!AA28</f>
        <v>191.009810366</v>
      </c>
      <c r="V28" s="13">
        <f t="shared" si="9"/>
        <v>55010.825385408</v>
      </c>
      <c r="W28" s="13">
        <f t="shared" si="10"/>
        <v>1824</v>
      </c>
      <c r="X28" s="8">
        <f>0.527*'(2) Free LF earnings 1800'!AG28</f>
        <v>106.43819</v>
      </c>
      <c r="Y28" s="13">
        <f t="shared" si="11"/>
        <v>194143.25856000002</v>
      </c>
      <c r="Z28" s="13">
        <f t="shared" si="1"/>
        <v>7290.771176470591</v>
      </c>
      <c r="AA28" s="27">
        <f t="shared" si="26"/>
        <v>100.3865304</v>
      </c>
      <c r="AB28" s="13">
        <f t="shared" si="12"/>
        <v>731895.2223462088</v>
      </c>
      <c r="AC28" s="13">
        <f t="shared" si="13"/>
        <v>583.2616941176473</v>
      </c>
      <c r="AD28" s="8">
        <f>0.475*'(2) Free LF earnings 1800'!AP28</f>
        <v>183.1695</v>
      </c>
      <c r="AE28" s="13">
        <f t="shared" si="14"/>
        <v>106835.7528806824</v>
      </c>
      <c r="AF28" s="13">
        <f t="shared" si="15"/>
        <v>583.2616941176473</v>
      </c>
      <c r="AG28" s="8">
        <f>0.475*'(2) Free LF earnings 1800'!AS28</f>
        <v>131.4705</v>
      </c>
      <c r="AH28" s="13">
        <f t="shared" si="32"/>
        <v>76681.70655649414</v>
      </c>
      <c r="AI28" s="13">
        <f t="shared" si="17"/>
        <v>6124.247788235296</v>
      </c>
      <c r="AJ28" s="8">
        <f>0.475*'(2) Free LF earnings 1800'!AY28</f>
        <v>89.54205999999999</v>
      </c>
      <c r="AK28" s="13">
        <f t="shared" si="30"/>
        <v>548377.7629090322</v>
      </c>
      <c r="AL28" s="13">
        <v>8352.521823529414</v>
      </c>
      <c r="AM28" s="8">
        <f t="shared" si="27"/>
        <v>86.70453412800003</v>
      </c>
      <c r="AN28" s="13">
        <f t="shared" si="18"/>
        <v>724201.5135030712</v>
      </c>
      <c r="AO28" s="13">
        <f t="shared" si="19"/>
        <v>668.2017458823532</v>
      </c>
      <c r="AP28" s="8">
        <f>0.443*'(2) Free LF earnings 1800'!BH28</f>
        <v>133.11264</v>
      </c>
      <c r="AQ28" s="13">
        <f t="shared" si="20"/>
        <v>88946.09844700916</v>
      </c>
      <c r="AR28" s="13">
        <f t="shared" si="21"/>
        <v>668.2017458823532</v>
      </c>
      <c r="AS28" s="8">
        <f>0.443*'(2) Free LF earnings 1800'!BK28</f>
        <v>95.54181</v>
      </c>
      <c r="AT28" s="13">
        <f t="shared" si="33"/>
        <v>63841.20424676007</v>
      </c>
      <c r="AU28" s="13">
        <f t="shared" si="23"/>
        <v>7016.118331764708</v>
      </c>
      <c r="AV28" s="8">
        <f>0.443*'(2) Free LF earnings 1800'!BN28</f>
        <v>81.44306920000001</v>
      </c>
      <c r="AW28" s="13">
        <f t="shared" si="24"/>
        <v>571414.2108093018</v>
      </c>
    </row>
    <row r="29" spans="1:49" ht="13.5">
      <c r="A29" t="s">
        <v>76</v>
      </c>
      <c r="B29" s="13">
        <v>198126.90000000002</v>
      </c>
      <c r="C29" s="30">
        <f t="shared" si="28"/>
        <v>81.05463643410039</v>
      </c>
      <c r="D29" s="13">
        <f t="shared" si="34"/>
        <v>16059103.847315365</v>
      </c>
      <c r="E29" s="13"/>
      <c r="F29" s="13">
        <v>165115.835</v>
      </c>
      <c r="G29" s="8">
        <f>0.414*'(2) Free LF earnings 1800'!G29</f>
        <v>77.55462</v>
      </c>
      <c r="H29" s="13">
        <f t="shared" si="3"/>
        <v>12805495.8394077</v>
      </c>
      <c r="J29" s="13">
        <v>33011.06500000003</v>
      </c>
      <c r="K29" s="8">
        <f t="shared" si="25"/>
        <v>98.56113421083698</v>
      </c>
      <c r="L29" s="13">
        <f t="shared" si="4"/>
        <v>3253608.0079076663</v>
      </c>
      <c r="M29" s="13"/>
      <c r="N29" s="13">
        <v>2935</v>
      </c>
      <c r="O29" s="8">
        <f t="shared" si="31"/>
        <v>150.96648146590002</v>
      </c>
      <c r="P29" s="13">
        <f t="shared" si="5"/>
        <v>443086.6231024165</v>
      </c>
      <c r="Q29">
        <f t="shared" si="29"/>
        <v>498.95000000000005</v>
      </c>
      <c r="R29" s="8">
        <f>0.527*'(2) Free LF earnings 1800'!X29</f>
        <v>263.9216</v>
      </c>
      <c r="S29" s="13">
        <f t="shared" si="7"/>
        <v>131683.68232000002</v>
      </c>
      <c r="T29">
        <f>0.34*N29*0.5</f>
        <v>498.95000000000005</v>
      </c>
      <c r="U29" s="8">
        <f>0.527*'(2) Free LF earnings 1800'!AA29</f>
        <v>210.88590627</v>
      </c>
      <c r="V29" s="13">
        <f t="shared" si="9"/>
        <v>105221.5229334165</v>
      </c>
      <c r="W29" s="13">
        <f t="shared" si="10"/>
        <v>1937.1000000000001</v>
      </c>
      <c r="X29" s="8">
        <f>0.527*'(2) Free LF earnings 1800'!AG29</f>
        <v>106.43819</v>
      </c>
      <c r="Y29" s="13">
        <f t="shared" si="11"/>
        <v>206181.41784900002</v>
      </c>
      <c r="Z29" s="13">
        <f>J29-AL29-N29</f>
        <v>14821.680736151618</v>
      </c>
      <c r="AA29" s="27">
        <f t="shared" si="26"/>
        <v>100.3865304</v>
      </c>
      <c r="AB29" s="13">
        <f t="shared" si="12"/>
        <v>1487897.1037987787</v>
      </c>
      <c r="AC29" s="13">
        <f t="shared" si="13"/>
        <v>1185.7344588921294</v>
      </c>
      <c r="AD29" s="8">
        <f>0.475*'(2) Free LF earnings 1800'!AP29</f>
        <v>183.1695</v>
      </c>
      <c r="AE29" s="13">
        <f t="shared" si="14"/>
        <v>217190.3879680419</v>
      </c>
      <c r="AF29" s="13">
        <f t="shared" si="15"/>
        <v>1185.7344588921294</v>
      </c>
      <c r="AG29" s="8">
        <f>0.475*'(2) Free LF earnings 1800'!AS29</f>
        <v>131.4705</v>
      </c>
      <c r="AH29" s="13">
        <f t="shared" si="32"/>
        <v>155889.10217777768</v>
      </c>
      <c r="AI29" s="13">
        <f t="shared" si="17"/>
        <v>12450.21181836736</v>
      </c>
      <c r="AJ29" s="8">
        <f>0.475*'(2) Free LF earnings 1800'!AY29</f>
        <v>89.54205999999999</v>
      </c>
      <c r="AK29" s="13">
        <f t="shared" si="30"/>
        <v>1114817.613652959</v>
      </c>
      <c r="AL29" s="13">
        <v>15254.384263848411</v>
      </c>
      <c r="AM29" s="8">
        <f t="shared" si="27"/>
        <v>86.704534128</v>
      </c>
      <c r="AN29" s="13">
        <f t="shared" si="18"/>
        <v>1322624.2810064708</v>
      </c>
      <c r="AO29" s="13">
        <f t="shared" si="19"/>
        <v>1220.3507411078729</v>
      </c>
      <c r="AP29" s="8">
        <f>0.443*'(2) Free LF earnings 1800'!BH29</f>
        <v>133.11264</v>
      </c>
      <c r="AQ29" s="13">
        <f t="shared" si="20"/>
        <v>162444.10887482547</v>
      </c>
      <c r="AR29" s="13">
        <f t="shared" si="21"/>
        <v>1220.3507411078729</v>
      </c>
      <c r="AS29" s="8">
        <f>0.443*'(2) Free LF earnings 1800'!BK29</f>
        <v>95.54181</v>
      </c>
      <c r="AT29" s="13">
        <f t="shared" si="33"/>
        <v>116594.51864028757</v>
      </c>
      <c r="AU29" s="13">
        <f t="shared" si="23"/>
        <v>12813.682781632664</v>
      </c>
      <c r="AV29" s="8">
        <f>0.443*'(2) Free LF earnings 1800'!BN29</f>
        <v>81.44306920000001</v>
      </c>
      <c r="AW29" s="13">
        <f t="shared" si="24"/>
        <v>1043585.6534913577</v>
      </c>
    </row>
    <row r="30" spans="1:49" ht="13.5">
      <c r="A30" s="9" t="s">
        <v>77</v>
      </c>
      <c r="B30" s="13">
        <f>SUM(B23:B29)</f>
        <v>463774.7965527061</v>
      </c>
      <c r="C30" s="30">
        <f t="shared" si="28"/>
        <v>81.1597653342173</v>
      </c>
      <c r="D30" s="13">
        <f t="shared" si="34"/>
        <v>37639853.656142</v>
      </c>
      <c r="E30" s="18"/>
      <c r="F30" s="13">
        <f>SUM(F23:F29)</f>
        <v>383257.97138781217</v>
      </c>
      <c r="G30" s="8">
        <f>H30/F30</f>
        <v>77.14679808585889</v>
      </c>
      <c r="H30" s="13">
        <f>SUM(H23:H29)</f>
        <v>29567125.333451428</v>
      </c>
      <c r="J30" s="13">
        <f>SUM(J23:J29)</f>
        <v>80517.24716489391</v>
      </c>
      <c r="K30" s="8">
        <f t="shared" si="25"/>
        <v>100.26085847369029</v>
      </c>
      <c r="L30" s="13">
        <f t="shared" si="4"/>
        <v>8072728.322690569</v>
      </c>
      <c r="M30" s="13"/>
      <c r="N30" s="41">
        <f>SUM(N23:N29)</f>
        <v>11070</v>
      </c>
      <c r="O30" s="8">
        <f t="shared" si="31"/>
        <v>145.96092523321437</v>
      </c>
      <c r="P30" s="13">
        <f t="shared" si="5"/>
        <v>1615787.4423316831</v>
      </c>
      <c r="Q30">
        <f t="shared" si="29"/>
        <v>1881.9</v>
      </c>
      <c r="R30" s="8">
        <f>S30/Q30</f>
        <v>246.05475700090335</v>
      </c>
      <c r="S30" s="13">
        <f>SUM(S23:S29)</f>
        <v>463050.44720000005</v>
      </c>
      <c r="T30">
        <f>0.34*N30*0.5</f>
        <v>1881.9</v>
      </c>
      <c r="U30" s="8">
        <f>V30/T30</f>
        <v>187.36432880502846</v>
      </c>
      <c r="V30" s="13">
        <f>SUM(V23:V29)</f>
        <v>352600.9303781831</v>
      </c>
      <c r="W30" s="13">
        <f t="shared" si="10"/>
        <v>7306.200000000001</v>
      </c>
      <c r="X30" s="8">
        <f>Y30/W30</f>
        <v>109.51466764576661</v>
      </c>
      <c r="Y30" s="54">
        <f>SUM(Y23:Y29)</f>
        <v>800136.0647535</v>
      </c>
      <c r="Z30" s="55">
        <f>SUM(Z23:Z29)</f>
        <v>32210.43804069217</v>
      </c>
      <c r="AA30" s="27">
        <f t="shared" si="26"/>
        <v>100.36495860985498</v>
      </c>
      <c r="AB30" s="13">
        <f t="shared" si="12"/>
        <v>3232799.280759368</v>
      </c>
      <c r="AC30" s="13">
        <f t="shared" si="13"/>
        <v>2576.835043255374</v>
      </c>
      <c r="AD30" s="8">
        <f>AE30/AC30</f>
        <v>183.1300900310813</v>
      </c>
      <c r="AE30" s="41">
        <f>SUM(AE23:AE29)</f>
        <v>471896.03346660186</v>
      </c>
      <c r="AF30" s="13">
        <f t="shared" si="15"/>
        <v>2576.835043255374</v>
      </c>
      <c r="AG30" s="8">
        <f>AH30/AF30</f>
        <v>131.44221336757084</v>
      </c>
      <c r="AH30" s="41">
        <f>SUM(AH23:AH29)</f>
        <v>338704.9015686065</v>
      </c>
      <c r="AI30" s="13">
        <f t="shared" si="17"/>
        <v>27056.76795418142</v>
      </c>
      <c r="AJ30" s="8">
        <f>AK30/AI30</f>
        <v>89.52282659281288</v>
      </c>
      <c r="AK30" s="41">
        <f>SUM(AK23:AK29)</f>
        <v>2422198.34572416</v>
      </c>
      <c r="AL30" s="13">
        <f>SUM(AL23:AL29)</f>
        <v>37236.80912420174</v>
      </c>
      <c r="AM30" s="8">
        <f t="shared" si="27"/>
        <v>86.58479809173596</v>
      </c>
      <c r="AN30" s="13">
        <f t="shared" si="18"/>
        <v>3224141.599599519</v>
      </c>
      <c r="AO30" s="13">
        <f t="shared" si="19"/>
        <v>2978.944729936139</v>
      </c>
      <c r="AP30" s="8">
        <f>AQ30/AO30</f>
        <v>132.9288159353125</v>
      </c>
      <c r="AQ30" s="13">
        <f>SUM(AQ23:AQ29)</f>
        <v>395987.59568715026</v>
      </c>
      <c r="AR30" s="13">
        <f t="shared" si="21"/>
        <v>2978.944729936139</v>
      </c>
      <c r="AS30" s="8">
        <f>AT30/AR30</f>
        <v>95.40986998392188</v>
      </c>
      <c r="AT30" s="41">
        <f>SUM(AT23:AT29)</f>
        <v>284220.7293724963</v>
      </c>
      <c r="AU30" s="13">
        <f t="shared" si="23"/>
        <v>31278.91966432946</v>
      </c>
      <c r="AV30" s="8">
        <f>AW30/AU30</f>
        <v>81.33059906928239</v>
      </c>
      <c r="AW30" s="41">
        <f>SUM(AW23:AW29)</f>
        <v>2543933.274539872</v>
      </c>
    </row>
    <row r="31" spans="1:49" ht="13.5">
      <c r="A31" s="9" t="s">
        <v>128</v>
      </c>
      <c r="B31" s="13">
        <f>B30-B23</f>
        <v>459995.6965527061</v>
      </c>
      <c r="C31" s="30">
        <f t="shared" si="28"/>
        <v>81.17485853450151</v>
      </c>
      <c r="D31" s="13">
        <f>D30-D23</f>
        <v>37340085.5941454</v>
      </c>
      <c r="E31" s="18"/>
      <c r="F31" s="13">
        <f>F30-F23</f>
        <v>380028.94038781215</v>
      </c>
      <c r="G31" s="8">
        <f>H31/F31</f>
        <v>77.1481133746826</v>
      </c>
      <c r="H31" s="13">
        <f>H30-H23</f>
        <v>29318515.778699428</v>
      </c>
      <c r="J31" s="13">
        <f>J30-J23</f>
        <v>79967.1781648939</v>
      </c>
      <c r="K31" s="8">
        <f t="shared" si="25"/>
        <v>100.31077749055162</v>
      </c>
      <c r="L31" s="13">
        <f>L30-L23</f>
        <v>8021569.815445971</v>
      </c>
      <c r="M31" s="13"/>
      <c r="N31" s="13">
        <f>N30-N23</f>
        <v>11070</v>
      </c>
      <c r="O31" s="8">
        <f t="shared" si="31"/>
        <v>145.96092523321437</v>
      </c>
      <c r="P31" s="13">
        <f>P30-P23</f>
        <v>1615787.4423316831</v>
      </c>
      <c r="Q31" s="13">
        <f>Q30-Q23</f>
        <v>1881.9</v>
      </c>
      <c r="R31" s="8">
        <f>S31/Q31</f>
        <v>246.05475700090335</v>
      </c>
      <c r="S31" s="13">
        <f>S30-S23</f>
        <v>463050.44720000005</v>
      </c>
      <c r="T31" s="13">
        <f>T30-T23</f>
        <v>1881.9</v>
      </c>
      <c r="U31" s="8">
        <f>V31/T31</f>
        <v>187.36432880502846</v>
      </c>
      <c r="V31" s="13">
        <f>V30-V23</f>
        <v>352600.9303781831</v>
      </c>
      <c r="W31" s="13">
        <f>W30-W23</f>
        <v>7306.200000000001</v>
      </c>
      <c r="X31" s="8">
        <f>Y31/W31</f>
        <v>109.51466764576661</v>
      </c>
      <c r="Y31" s="13">
        <f>Y30-Y23</f>
        <v>800136.0647535</v>
      </c>
      <c r="Z31" s="13">
        <f>Z30-Z23</f>
        <v>31924.40216069217</v>
      </c>
      <c r="AA31" s="27">
        <f t="shared" si="26"/>
        <v>100.37233957998494</v>
      </c>
      <c r="AB31" s="13">
        <f>AB30-AB23</f>
        <v>3204326.9345609993</v>
      </c>
      <c r="AC31" s="13">
        <f>AC30-AC23</f>
        <v>2553.9521728553736</v>
      </c>
      <c r="AD31" s="8">
        <f>AE31/AC31</f>
        <v>183.14355722012616</v>
      </c>
      <c r="AE31" s="13">
        <f>AE30-AE23</f>
        <v>467739.88590680365</v>
      </c>
      <c r="AF31" s="13">
        <f>AF30-AF23</f>
        <v>2553.9521728553736</v>
      </c>
      <c r="AG31" s="8">
        <f>AH31/AF31</f>
        <v>131.45187948598752</v>
      </c>
      <c r="AH31" s="13">
        <f>AH30-AH23</f>
        <v>335721.8132391605</v>
      </c>
      <c r="AI31" s="13">
        <f>AI30-AI23</f>
        <v>26816.49781498142</v>
      </c>
      <c r="AJ31" s="8">
        <f>AK31/AI31</f>
        <v>89.52941028987603</v>
      </c>
      <c r="AK31" s="13">
        <f>AK30-AK23</f>
        <v>2400865.2354150354</v>
      </c>
      <c r="AL31" s="13">
        <f>AL30-AL23</f>
        <v>36972.77600420174</v>
      </c>
      <c r="AM31" s="8">
        <f t="shared" si="27"/>
        <v>86.58953382860577</v>
      </c>
      <c r="AN31" s="13">
        <f>AN30-AN23</f>
        <v>3201455.43855329</v>
      </c>
      <c r="AO31" s="13">
        <f>AO30-AO23</f>
        <v>2957.822080336139</v>
      </c>
      <c r="AP31" s="8">
        <f>AQ31/AO31</f>
        <v>132.93608644824963</v>
      </c>
      <c r="AQ31" s="13">
        <f>AQ30-AQ23</f>
        <v>393201.29177010653</v>
      </c>
      <c r="AR31" s="13">
        <f>AR30-AR23</f>
        <v>2957.822080336139</v>
      </c>
      <c r="AS31" s="8">
        <f>AT31/AR31</f>
        <v>95.41508840619673</v>
      </c>
      <c r="AT31" s="13">
        <f>AT30-AT23</f>
        <v>282220.85528507346</v>
      </c>
      <c r="AU31" s="13">
        <f>AU30-AU23</f>
        <v>31057.13184352946</v>
      </c>
      <c r="AV31" s="8">
        <f>AW31/AU31</f>
        <v>81.3350474288691</v>
      </c>
      <c r="AW31" s="13">
        <f>AW30-AW23</f>
        <v>2526033.2914981097</v>
      </c>
    </row>
    <row r="32" spans="1:49" ht="13.5">
      <c r="A32" s="9" t="s">
        <v>160</v>
      </c>
      <c r="B32" s="13">
        <f>B30-B23-B24-B26</f>
        <v>396299.09655270615</v>
      </c>
      <c r="C32" s="30">
        <f t="shared" si="28"/>
        <v>80.98571584225387</v>
      </c>
      <c r="D32" s="13">
        <f>D30-D23-D24-D26</f>
        <v>32094566.021959387</v>
      </c>
      <c r="E32" s="18"/>
      <c r="F32" s="13">
        <f>F30-F23-F24-F26</f>
        <v>328034.94038781215</v>
      </c>
      <c r="G32" s="8">
        <f>H32/F32</f>
        <v>77.55462</v>
      </c>
      <c r="H32" s="13">
        <f>H30-H23-H24-H26</f>
        <v>25440625.148499426</v>
      </c>
      <c r="J32" s="13">
        <f>J30-J23-J24-J26</f>
        <v>68264.2061648939</v>
      </c>
      <c r="K32" s="8">
        <f t="shared" si="25"/>
        <v>97.47335019742555</v>
      </c>
      <c r="L32" s="13">
        <f>L30-L23-L24-L26</f>
        <v>6653940.8734599585</v>
      </c>
      <c r="M32" s="13"/>
      <c r="N32" s="13">
        <f>N30-N23-N24-N26</f>
        <v>5335</v>
      </c>
      <c r="O32" s="8">
        <f t="shared" si="31"/>
        <v>144.0018983782239</v>
      </c>
      <c r="P32" s="13">
        <f>P30-P23-P24-P26</f>
        <v>768250.1278478245</v>
      </c>
      <c r="Q32" s="13">
        <f>Q30-Q23-Q24-Q26</f>
        <v>906.95</v>
      </c>
      <c r="R32" s="8">
        <f>S32/Q32</f>
        <v>229.00171246485473</v>
      </c>
      <c r="S32" s="13">
        <f>S30-S23-S24-S26</f>
        <v>207693.10312</v>
      </c>
      <c r="T32" s="13">
        <f>T30-T23-T24-T26</f>
        <v>906.95</v>
      </c>
      <c r="U32" s="8">
        <f>V32/T32</f>
        <v>176.67164487438615</v>
      </c>
      <c r="V32" s="13">
        <f>V30-V23-V24-V26</f>
        <v>160232.34831882452</v>
      </c>
      <c r="W32" s="13">
        <f>W30-W23-W24-W26</f>
        <v>3521.1000000000004</v>
      </c>
      <c r="X32" s="8">
        <f>Y32/W32</f>
        <v>113.69307216750447</v>
      </c>
      <c r="Y32" s="13">
        <f>Y30-Y23-Y24-Y26</f>
        <v>400324.676409</v>
      </c>
      <c r="Z32" s="13">
        <f>Z30-Z23-Z24-Z26</f>
        <v>31387.469598935062</v>
      </c>
      <c r="AA32" s="27">
        <f t="shared" si="26"/>
        <v>100.3865304</v>
      </c>
      <c r="AB32" s="13">
        <f>AB30-AB23-AB24-AB26</f>
        <v>3150879.17107257</v>
      </c>
      <c r="AC32" s="13">
        <f>AC30-AC23-AC24-AC26</f>
        <v>2510.997567914805</v>
      </c>
      <c r="AD32" s="8">
        <f>AE32/AC32</f>
        <v>183.1695</v>
      </c>
      <c r="AE32" s="13">
        <f>AE30-AE23-AE24-AE26</f>
        <v>459938.1690161709</v>
      </c>
      <c r="AF32" s="13">
        <f>AF30-AF23-AF24-AF26</f>
        <v>2510.997567914805</v>
      </c>
      <c r="AG32" s="8">
        <f>AH32/AF32</f>
        <v>131.47049999999996</v>
      </c>
      <c r="AH32" s="13">
        <f>AH30-AH23-AH24-AH26</f>
        <v>330122.1057525433</v>
      </c>
      <c r="AI32" s="13">
        <f>AI30-AI23-AI24-AI26</f>
        <v>26365.47446310545</v>
      </c>
      <c r="AJ32" s="8">
        <f>AK32/AI32</f>
        <v>89.54205999999999</v>
      </c>
      <c r="AK32" s="13">
        <f>AK30-AK23-AK24-AK26</f>
        <v>2360818.896303856</v>
      </c>
      <c r="AL32" s="13">
        <f>AL30-AL23-AL24-AL26</f>
        <v>31541.736565958843</v>
      </c>
      <c r="AM32" s="8">
        <f t="shared" si="27"/>
        <v>86.70453412800003</v>
      </c>
      <c r="AN32" s="13">
        <f>AN30-AN23-AN24-AN26</f>
        <v>2734811.574539565</v>
      </c>
      <c r="AO32" s="13">
        <f>AO30-AO23-AO24-AO26</f>
        <v>2523.3389252767074</v>
      </c>
      <c r="AP32" s="8">
        <f>AQ32/AO32</f>
        <v>133.11264000000003</v>
      </c>
      <c r="AQ32" s="13">
        <f>AQ30-AQ23-AQ24-AQ26</f>
        <v>335888.3059583453</v>
      </c>
      <c r="AR32" s="13">
        <f>AR30-AR23-AR24-AR26</f>
        <v>2523.3389252767074</v>
      </c>
      <c r="AS32" s="8">
        <f>AT32/AR32</f>
        <v>95.54180999999998</v>
      </c>
      <c r="AT32" s="13">
        <f>AT30-AT23-AT24-AT26</f>
        <v>241084.36816439134</v>
      </c>
      <c r="AU32" s="13">
        <f>AU30-AU23-AU24-AU26</f>
        <v>26495.058715405426</v>
      </c>
      <c r="AV32" s="8">
        <f>AW32/AU32</f>
        <v>81.44306920000002</v>
      </c>
      <c r="AW32" s="13">
        <f>AW30-AW23-AW24-AW26</f>
        <v>2157838.9004168278</v>
      </c>
    </row>
    <row r="33" spans="1:50" ht="13.5">
      <c r="A33" s="9" t="s">
        <v>43</v>
      </c>
      <c r="B33" s="13">
        <f>B25+B27+B28</f>
        <v>198172.19655270607</v>
      </c>
      <c r="C33" s="30">
        <f t="shared" si="28"/>
        <v>80.9168110037031</v>
      </c>
      <c r="D33" s="13">
        <f>D25+D27+D28</f>
        <v>16035462.174644021</v>
      </c>
      <c r="E33" s="18"/>
      <c r="F33" s="13">
        <f>F25+F27+F28</f>
        <v>162919.1053878122</v>
      </c>
      <c r="G33" s="8">
        <f>H33/F33</f>
        <v>77.55462000000001</v>
      </c>
      <c r="H33" s="13">
        <f>H25+H27+H28</f>
        <v>12635129.309091728</v>
      </c>
      <c r="J33" s="13">
        <f>J25+J27+J28</f>
        <v>35253.14116489388</v>
      </c>
      <c r="K33" s="8">
        <f t="shared" si="25"/>
        <v>96.45474851864962</v>
      </c>
      <c r="L33" s="13">
        <f>L25+L27+L28</f>
        <v>3400332.865552294</v>
      </c>
      <c r="M33" s="13"/>
      <c r="N33" s="13">
        <f>N25+N27+N28</f>
        <v>2400</v>
      </c>
      <c r="O33" s="8">
        <f t="shared" si="31"/>
        <v>135.48479364392</v>
      </c>
      <c r="P33" s="13">
        <f>P25+P27+P28</f>
        <v>325163.504745408</v>
      </c>
      <c r="Q33" s="13">
        <f>Q25+Q27+Q28</f>
        <v>288</v>
      </c>
      <c r="R33" s="8">
        <f>S33/Q33</f>
        <v>263.9216</v>
      </c>
      <c r="S33" s="13">
        <f>S25+S27+S28</f>
        <v>76009.4208</v>
      </c>
      <c r="T33" s="13">
        <f>T25+T27+T28</f>
        <v>288</v>
      </c>
      <c r="U33" s="8">
        <f>V33/T33</f>
        <v>191.009810366</v>
      </c>
      <c r="V33" s="13">
        <f>V25+V27+V28</f>
        <v>55010.825385408</v>
      </c>
      <c r="W33" s="13">
        <f>W25+W27+W28</f>
        <v>1824</v>
      </c>
      <c r="X33" s="8">
        <f>Y33/W33</f>
        <v>106.43819</v>
      </c>
      <c r="Y33" s="13">
        <f>Y25+Y27+Y28</f>
        <v>194143.25856000002</v>
      </c>
      <c r="Z33" s="13">
        <f>Z25+Z27+Z28</f>
        <v>16565.788862783444</v>
      </c>
      <c r="AA33" s="27">
        <f t="shared" si="26"/>
        <v>100.3865304</v>
      </c>
      <c r="AB33" s="13">
        <f>AB25+AB27+AB28</f>
        <v>1662982.0672737916</v>
      </c>
      <c r="AC33" s="13">
        <f>AC25+AC27+AC28</f>
        <v>1325.2631090226755</v>
      </c>
      <c r="AD33" s="8">
        <f>AE33/AC33</f>
        <v>183.1695</v>
      </c>
      <c r="AE33" s="13">
        <f>AE25+AE27+AE28</f>
        <v>242747.78104812896</v>
      </c>
      <c r="AF33" s="13">
        <f>AF25+AF27+AF28</f>
        <v>1325.2631090226755</v>
      </c>
      <c r="AG33" s="8">
        <f>AH33/AF33</f>
        <v>131.47050000000002</v>
      </c>
      <c r="AH33" s="13">
        <f>AH25+AH27+AH28</f>
        <v>174233.00357476567</v>
      </c>
      <c r="AI33" s="13">
        <f>AI25+AI27+AI28</f>
        <v>13915.262644738094</v>
      </c>
      <c r="AJ33" s="8">
        <f>AK33/AI33</f>
        <v>89.54205999999998</v>
      </c>
      <c r="AK33" s="13">
        <f>AK25+AK27+AK28</f>
        <v>1246001.2826508968</v>
      </c>
      <c r="AL33" s="13">
        <f>AL25+AL27+AL28</f>
        <v>16287.352302110434</v>
      </c>
      <c r="AM33" s="8">
        <f t="shared" si="27"/>
        <v>86.70453412800002</v>
      </c>
      <c r="AN33" s="13">
        <f>AN25+AN27+AN28</f>
        <v>1412187.2935330938</v>
      </c>
      <c r="AO33" s="13">
        <f>AO25+AO27+AO28</f>
        <v>1302.9881841688348</v>
      </c>
      <c r="AP33" s="8">
        <f>AQ33/AO33</f>
        <v>133.11264</v>
      </c>
      <c r="AQ33" s="13">
        <f>AQ25+AQ27+AQ28</f>
        <v>173444.1970835198</v>
      </c>
      <c r="AR33" s="13">
        <f>AR25+AR27+AR28</f>
        <v>1302.9881841688348</v>
      </c>
      <c r="AS33" s="8">
        <f>AT33/AR33</f>
        <v>95.54181</v>
      </c>
      <c r="AT33" s="13">
        <f>AT25+AT27+AT28</f>
        <v>124489.84952410382</v>
      </c>
      <c r="AU33" s="13">
        <f>AU25+AU27+AU28</f>
        <v>13681.375933772764</v>
      </c>
      <c r="AV33" s="8">
        <f>AW33/AU33</f>
        <v>81.44306920000001</v>
      </c>
      <c r="AW33" s="13">
        <f>AW25+AW27+AW28</f>
        <v>1114253.24692547</v>
      </c>
      <c r="AX33" s="13"/>
    </row>
    <row r="34" spans="3:47" ht="13.5">
      <c r="C34" s="30"/>
      <c r="D34" s="13"/>
      <c r="G34" s="8"/>
      <c r="H34" s="13"/>
      <c r="K34" s="8"/>
      <c r="L34" s="13"/>
      <c r="N34" s="11"/>
      <c r="O34" s="8"/>
      <c r="P34" s="13"/>
      <c r="R34" s="8"/>
      <c r="W34" s="13"/>
      <c r="Y34" s="13"/>
      <c r="Z34" s="13"/>
      <c r="AA34" s="27"/>
      <c r="AB34" s="13"/>
      <c r="AC34" s="13"/>
      <c r="AE34" s="13"/>
      <c r="AF34" s="13"/>
      <c r="AI34" s="13"/>
      <c r="AM34" s="8"/>
      <c r="AN34" s="13"/>
      <c r="AO34" s="13"/>
      <c r="AR34" s="13"/>
      <c r="AU34" s="13"/>
    </row>
    <row r="35" spans="1:94" ht="18">
      <c r="A35" s="9" t="s">
        <v>38</v>
      </c>
      <c r="B35" s="13">
        <f>B14+B19+B30</f>
        <v>485549.32739582245</v>
      </c>
      <c r="C35" s="31">
        <f t="shared" si="28"/>
        <v>81.36356292629748</v>
      </c>
      <c r="D35" s="13">
        <f>H35+P35+AB35+AN35</f>
        <v>39506023.253391415</v>
      </c>
      <c r="E35" s="20"/>
      <c r="F35" s="13">
        <f>F14+F19+F30</f>
        <v>399386.4912970971</v>
      </c>
      <c r="G35" s="17">
        <f>H35/F35</f>
        <v>77.15664769218097</v>
      </c>
      <c r="H35" s="13">
        <f>H14+H19+H30</f>
        <v>30815322.802026425</v>
      </c>
      <c r="J35" s="13">
        <f>J14+J19+J30</f>
        <v>86163.58309872528</v>
      </c>
      <c r="K35" s="10">
        <f t="shared" si="25"/>
        <v>100.8628023443185</v>
      </c>
      <c r="L35" s="13">
        <f t="shared" si="4"/>
        <v>8690700.45136499</v>
      </c>
      <c r="M35" s="13"/>
      <c r="N35" s="40">
        <f>N14+N19+N30</f>
        <v>12910</v>
      </c>
      <c r="O35" s="10">
        <f t="shared" si="31"/>
        <v>146.43701669537313</v>
      </c>
      <c r="P35" s="13">
        <f t="shared" si="5"/>
        <v>1890501.8855372672</v>
      </c>
      <c r="Q35">
        <f>0.34*N35*0.5</f>
        <v>2194.7000000000003</v>
      </c>
      <c r="R35" s="10">
        <f>S35/Q35</f>
        <v>248.3157254841208</v>
      </c>
      <c r="S35" s="20">
        <f>S14+S19+S30</f>
        <v>544978.52272</v>
      </c>
      <c r="T35">
        <f>0.34*N35*0.5</f>
        <v>2194.7000000000003</v>
      </c>
      <c r="U35" s="22">
        <f>V35/T35</f>
        <v>190.05324171857976</v>
      </c>
      <c r="V35" s="20">
        <f>V14+V19+V30</f>
        <v>417109.84959976707</v>
      </c>
      <c r="W35" s="13">
        <f t="shared" si="10"/>
        <v>8520.599999999999</v>
      </c>
      <c r="X35" s="22">
        <f>Y35/W35</f>
        <v>108.9610488953243</v>
      </c>
      <c r="Y35" s="20">
        <f>Y14+Y19+Y30</f>
        <v>928413.5132175001</v>
      </c>
      <c r="Z35" s="14">
        <f>Z14+Z19+Z30</f>
        <v>33400.716712107635</v>
      </c>
      <c r="AA35" s="22">
        <f t="shared" si="26"/>
        <v>100.3356018194269</v>
      </c>
      <c r="AB35" s="13">
        <f t="shared" si="12"/>
        <v>3351281.012509509</v>
      </c>
      <c r="AC35" s="13">
        <f t="shared" si="13"/>
        <v>2672.057336968611</v>
      </c>
      <c r="AD35" s="10">
        <f>AE35/AC35</f>
        <v>183.0765261445617</v>
      </c>
      <c r="AE35" s="14">
        <f>AE14+AE19+AE30</f>
        <v>489190.9749113018</v>
      </c>
      <c r="AF35" s="13">
        <f t="shared" si="15"/>
        <v>2672.057336968611</v>
      </c>
      <c r="AG35" s="10">
        <f>AH35/AF35</f>
        <v>131.40376771508681</v>
      </c>
      <c r="AH35" s="14">
        <f>AH14+AH19+AH30</f>
        <v>351118.4016284168</v>
      </c>
      <c r="AI35" s="13">
        <f t="shared" si="17"/>
        <v>28056.602038170415</v>
      </c>
      <c r="AJ35" s="10">
        <f>AK35/AI35</f>
        <v>89.49664084601785</v>
      </c>
      <c r="AK35" s="14">
        <f>AK14+AK19+AK30</f>
        <v>2510971.63596979</v>
      </c>
      <c r="AL35" s="13">
        <f>AL14+AL19+AL30</f>
        <v>39852.86638661765</v>
      </c>
      <c r="AM35" s="10">
        <f t="shared" si="27"/>
        <v>86.54126706620897</v>
      </c>
      <c r="AN35" s="13">
        <f t="shared" si="18"/>
        <v>3448917.5533182207</v>
      </c>
      <c r="AO35" s="13">
        <f t="shared" si="19"/>
        <v>3188.229310929412</v>
      </c>
      <c r="AP35" s="34">
        <f>AQ35/AO35</f>
        <v>132.86198517740485</v>
      </c>
      <c r="AQ35" s="18">
        <f>AQ14+AQ19+AQ30</f>
        <v>423594.4754508712</v>
      </c>
      <c r="AR35" s="13">
        <f t="shared" si="21"/>
        <v>3188.229310929412</v>
      </c>
      <c r="AS35" s="34">
        <f>AT35/AR35</f>
        <v>95.36190210067527</v>
      </c>
      <c r="AT35" s="18">
        <f>AT14+AT19+AT30</f>
        <v>304035.61142335396</v>
      </c>
      <c r="AU35" s="13">
        <f t="shared" si="23"/>
        <v>33476.40776475883</v>
      </c>
      <c r="AV35" s="34">
        <f>AW35/AU35</f>
        <v>81.28970962376495</v>
      </c>
      <c r="AW35" s="18">
        <f>AW14+AW19+AW30</f>
        <v>2721287.4664439955</v>
      </c>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18">
      <c r="A36" s="9" t="s">
        <v>39</v>
      </c>
      <c r="B36" s="13">
        <f>B35+B41</f>
        <v>516808.12739582243</v>
      </c>
      <c r="C36" s="31">
        <f t="shared" si="28"/>
        <v>81.27851160531198</v>
      </c>
      <c r="D36" s="13">
        <f>D35+D41</f>
        <v>42005395.38026091</v>
      </c>
      <c r="E36" s="13"/>
      <c r="F36" s="13">
        <f>F35+F41</f>
        <v>426095.3992970971</v>
      </c>
      <c r="G36" s="17">
        <f>H36/F36</f>
        <v>77.18159376241225</v>
      </c>
      <c r="H36" s="13">
        <f>H35+H41</f>
        <v>32886722.012581386</v>
      </c>
      <c r="I36" s="13"/>
      <c r="J36" s="13">
        <f>J35+J41</f>
        <v>90713.47509872528</v>
      </c>
      <c r="K36" s="10">
        <f t="shared" si="25"/>
        <v>100.521707031458</v>
      </c>
      <c r="L36" s="13">
        <f>L35+L41</f>
        <v>9118673.367679523</v>
      </c>
      <c r="M36" s="13"/>
      <c r="N36" s="13">
        <f>N35+N41</f>
        <v>12910</v>
      </c>
      <c r="O36" s="10">
        <f t="shared" si="31"/>
        <v>146.43701669537313</v>
      </c>
      <c r="P36" s="13">
        <f>P35+P41</f>
        <v>1890501.8855372672</v>
      </c>
      <c r="Q36" s="13">
        <f>Q35+Q41</f>
        <v>2194.7000000000003</v>
      </c>
      <c r="R36" s="10">
        <f>S36/Q36</f>
        <v>248.3157254841208</v>
      </c>
      <c r="S36" s="13">
        <f>S35+S41</f>
        <v>544978.52272</v>
      </c>
      <c r="T36" s="13">
        <f>T35+T41</f>
        <v>2194.7000000000003</v>
      </c>
      <c r="U36" s="22">
        <f>V36/T36</f>
        <v>190.05324171857976</v>
      </c>
      <c r="V36" s="13">
        <f>V35+V41</f>
        <v>417109.84959976707</v>
      </c>
      <c r="W36" s="13">
        <f>W35+W41</f>
        <v>8520.599999999999</v>
      </c>
      <c r="X36" s="22">
        <f>Y36/W36</f>
        <v>108.9610488953243</v>
      </c>
      <c r="Y36" s="13">
        <f>Y35+Y41</f>
        <v>928413.5132175001</v>
      </c>
      <c r="Z36" s="13">
        <f>Z35+Z41</f>
        <v>35847.483211403356</v>
      </c>
      <c r="AA36" s="22">
        <f t="shared" si="26"/>
        <v>100.33907794476791</v>
      </c>
      <c r="AB36" s="13">
        <f>AB35+AB41</f>
        <v>3596903.4120727605</v>
      </c>
      <c r="AC36" s="13">
        <f>AC35+AC41</f>
        <v>2867.7986569122686</v>
      </c>
      <c r="AD36" s="10">
        <f>AE36/AC36</f>
        <v>183.08287206607187</v>
      </c>
      <c r="AE36" s="13">
        <f>AE35+AE41</f>
        <v>525044.8146147216</v>
      </c>
      <c r="AF36" s="13">
        <f>AF35+AF41</f>
        <v>2867.7986569122686</v>
      </c>
      <c r="AG36" s="10">
        <f>AH36/AF36</f>
        <v>131.40832252073898</v>
      </c>
      <c r="AH36" s="13">
        <f>AH35+AH41</f>
        <v>376852.6108320694</v>
      </c>
      <c r="AI36" s="13">
        <f>AI35+AI41</f>
        <v>30111.88589757882</v>
      </c>
      <c r="AJ36" s="10">
        <f>AK36/AI36</f>
        <v>89.49974092597981</v>
      </c>
      <c r="AK36" s="13">
        <f>AK35+AK41</f>
        <v>2695005.9866259694</v>
      </c>
      <c r="AL36" s="13">
        <f>AL35+AL41</f>
        <v>41955.99188732193</v>
      </c>
      <c r="AM36" s="10">
        <f t="shared" si="27"/>
        <v>86.54945114446888</v>
      </c>
      <c r="AN36" s="13">
        <f>AN35+AN41</f>
        <v>3631268.0700695016</v>
      </c>
      <c r="AO36" s="13">
        <f>AO35+AO41</f>
        <v>3356.479350985754</v>
      </c>
      <c r="AP36" s="34">
        <f>AQ36/AO36</f>
        <v>132.87454973673383</v>
      </c>
      <c r="AQ36" s="13">
        <f>AQ35+AQ41</f>
        <v>445990.68246287666</v>
      </c>
      <c r="AR36" s="13">
        <f>AR35+AR41</f>
        <v>3356.479350985754</v>
      </c>
      <c r="AS36" s="34">
        <f>AT36/AR36</f>
        <v>95.37092033320482</v>
      </c>
      <c r="AT36" s="13">
        <f>AT35+AT41</f>
        <v>320110.5247829094</v>
      </c>
      <c r="AU36" s="13">
        <f>AU35+AU41</f>
        <v>35243.03318535042</v>
      </c>
      <c r="AV36" s="34">
        <f>AW36/AU36</f>
        <v>81.29739707008785</v>
      </c>
      <c r="AW36" s="13">
        <f>AW35+AW41</f>
        <v>2865166.862823716</v>
      </c>
      <c r="AX36" s="13"/>
      <c r="AY36" s="13"/>
      <c r="AZ36" s="13"/>
      <c r="BA36" s="13"/>
      <c r="BB36" s="13"/>
      <c r="BC36" s="13"/>
      <c r="BD36" s="13"/>
      <c r="BE36" s="13"/>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18">
      <c r="A37" s="9"/>
      <c r="B37" s="13"/>
      <c r="C37" s="31"/>
      <c r="D37" s="13"/>
      <c r="E37" s="13"/>
      <c r="F37" s="13"/>
      <c r="G37" s="17"/>
      <c r="H37" s="13"/>
      <c r="I37" s="13"/>
      <c r="J37" s="13"/>
      <c r="K37" s="10"/>
      <c r="L37" s="13"/>
      <c r="M37" s="13"/>
      <c r="N37" s="13"/>
      <c r="O37" s="10"/>
      <c r="P37" s="13"/>
      <c r="Q37" s="13"/>
      <c r="R37" s="10"/>
      <c r="S37" s="13"/>
      <c r="T37" s="13"/>
      <c r="U37" s="22"/>
      <c r="V37" s="13"/>
      <c r="W37" s="13"/>
      <c r="X37" s="22"/>
      <c r="Y37" s="13"/>
      <c r="Z37" s="13"/>
      <c r="AA37" s="22"/>
      <c r="AB37" s="13"/>
      <c r="AC37" s="13"/>
      <c r="AD37" s="10"/>
      <c r="AE37" s="13"/>
      <c r="AF37" s="13"/>
      <c r="AG37" s="10"/>
      <c r="AH37" s="13"/>
      <c r="AI37" s="13"/>
      <c r="AJ37" s="10"/>
      <c r="AK37" s="13"/>
      <c r="AL37" s="13"/>
      <c r="AM37" s="10"/>
      <c r="AN37" s="13"/>
      <c r="AO37" s="13"/>
      <c r="AP37" s="34"/>
      <c r="AQ37" s="13"/>
      <c r="AR37" s="13"/>
      <c r="AS37" s="34"/>
      <c r="AT37" s="13"/>
      <c r="AU37" s="13"/>
      <c r="AV37" s="34"/>
      <c r="AW37" s="13"/>
      <c r="AX37" s="13"/>
      <c r="AY37" s="13"/>
      <c r="AZ37" s="13"/>
      <c r="BA37" s="13"/>
      <c r="BB37" s="13"/>
      <c r="BC37" s="13"/>
      <c r="BD37" s="13"/>
      <c r="BE37" s="13"/>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49" ht="13.5">
      <c r="A38" t="s">
        <v>71</v>
      </c>
      <c r="B38" s="13">
        <v>21639.6</v>
      </c>
      <c r="C38" s="30">
        <f>D38/B38</f>
        <v>79.95504552946862</v>
      </c>
      <c r="D38" s="13">
        <f>H38+P38+AB38+AN38</f>
        <v>1730195.203239489</v>
      </c>
      <c r="E38" s="13"/>
      <c r="F38" s="13">
        <v>18489.836</v>
      </c>
      <c r="G38" s="8">
        <f>0.414*'(2) Free LF earnings 1800'!G38</f>
        <v>77.55462</v>
      </c>
      <c r="H38" s="13">
        <f>F38*G38</f>
        <v>1433972.20484232</v>
      </c>
      <c r="J38" s="13">
        <v>3149.763999999999</v>
      </c>
      <c r="K38" s="8">
        <f>L38/J38</f>
        <v>94.04609310321956</v>
      </c>
      <c r="L38" s="13">
        <f>D38-H38</f>
        <v>296222.99839716917</v>
      </c>
      <c r="M38" s="13"/>
      <c r="N38" s="13">
        <v>0</v>
      </c>
      <c r="O38" s="8">
        <v>0</v>
      </c>
      <c r="P38" s="13">
        <f>S38+V38+Y38</f>
        <v>0</v>
      </c>
      <c r="Q38">
        <f>0.34*N38*0.5</f>
        <v>0</v>
      </c>
      <c r="R38" s="8">
        <f>0.527*'(2) Free LF earnings 1800'!X38</f>
        <v>0</v>
      </c>
      <c r="S38" s="13">
        <f>Q38*R38</f>
        <v>0</v>
      </c>
      <c r="T38">
        <f>0.34*N38*0.5</f>
        <v>0</v>
      </c>
      <c r="U38" s="8">
        <f>0.527*'(2) Free LF earnings 1800'!AA38</f>
        <v>0</v>
      </c>
      <c r="V38" s="13">
        <f>T38*U38</f>
        <v>0</v>
      </c>
      <c r="W38" s="13">
        <f>N38-Q38-T38</f>
        <v>0</v>
      </c>
      <c r="X38" s="8">
        <f>0.527*'(2) Free LF earnings 1800'!AG38</f>
        <v>0</v>
      </c>
      <c r="Y38" s="13">
        <f>W38*X38</f>
        <v>0</v>
      </c>
      <c r="Z38" s="13">
        <f>J38-AL38-N38</f>
        <v>1690.1172682926824</v>
      </c>
      <c r="AA38" s="27">
        <f>AB38/Z38</f>
        <v>100.38653040000001</v>
      </c>
      <c r="AB38" s="13">
        <f>AE38+AH38+AK38</f>
        <v>169665.00853302833</v>
      </c>
      <c r="AC38" s="13">
        <f>0.16*0.5*Z38</f>
        <v>135.2093814634146</v>
      </c>
      <c r="AD38" s="8">
        <f>0.475*'(2) Free LF earnings 1800'!AP38</f>
        <v>183.1695</v>
      </c>
      <c r="AE38" s="13">
        <f>AC38*AD38</f>
        <v>24766.23479796292</v>
      </c>
      <c r="AF38" s="13">
        <f>0.16*0.5*Z38</f>
        <v>135.2093814634146</v>
      </c>
      <c r="AG38" s="8">
        <f>0.475*'(2) Free LF earnings 1800'!AS38</f>
        <v>131.4705</v>
      </c>
      <c r="AH38" s="13">
        <f>AF38*AG38</f>
        <v>17776.044985685847</v>
      </c>
      <c r="AI38" s="13">
        <f>Z38-AC38-AF38</f>
        <v>1419.6985053658534</v>
      </c>
      <c r="AJ38" s="8">
        <f>0.475*'(2) Free LF earnings 1800'!AY38</f>
        <v>89.54205999999999</v>
      </c>
      <c r="AK38" s="13">
        <f>AI38*AJ38</f>
        <v>127122.72874937956</v>
      </c>
      <c r="AL38" s="13">
        <v>1459.6467317073168</v>
      </c>
      <c r="AM38" s="8">
        <f>AN38/AL38</f>
        <v>86.704534128</v>
      </c>
      <c r="AN38" s="13">
        <f>AT38+AW38+AQ38</f>
        <v>126557.98986414072</v>
      </c>
      <c r="AO38" s="13">
        <f>AL38*0.16*0.5</f>
        <v>116.77173853658535</v>
      </c>
      <c r="AP38" s="8">
        <f>0.443*'(2) Free LF earnings 1800'!BH38</f>
        <v>133.11264</v>
      </c>
      <c r="AQ38" s="13">
        <f>AO38*AP38</f>
        <v>15543.794393994613</v>
      </c>
      <c r="AR38" s="13">
        <f>AL38*0.16*0.5</f>
        <v>116.77173853658535</v>
      </c>
      <c r="AS38" s="8">
        <f>0.443*'(2) Free LF earnings 1800'!BK38</f>
        <v>95.54181</v>
      </c>
      <c r="AT38" s="13">
        <f>AR38*AS38</f>
        <v>11156.583256632115</v>
      </c>
      <c r="AU38" s="13">
        <f>AL38-AO38-AR38</f>
        <v>1226.103254634146</v>
      </c>
      <c r="AV38" s="8">
        <f>0.443*'(2) Free LF earnings 1800'!BN38</f>
        <v>81.44306920000001</v>
      </c>
      <c r="AW38" s="13">
        <f>AU38*AV38</f>
        <v>99857.61221351399</v>
      </c>
    </row>
    <row r="39" spans="1:49" ht="13.5">
      <c r="A39" t="s">
        <v>72</v>
      </c>
      <c r="B39" s="13">
        <v>2069.1</v>
      </c>
      <c r="C39" s="30">
        <f>D39/B39</f>
        <v>80.02443544474667</v>
      </c>
      <c r="D39" s="13">
        <f>H39+P39+AB39+AN39</f>
        <v>165578.55937872533</v>
      </c>
      <c r="E39" s="13"/>
      <c r="F39" s="13">
        <v>1767.931</v>
      </c>
      <c r="G39" s="8">
        <f>0.414*'(2) Free LF earnings 1800'!G39</f>
        <v>77.55462</v>
      </c>
      <c r="H39" s="13">
        <f>F39*G39</f>
        <v>137111.21689122</v>
      </c>
      <c r="J39" s="13">
        <v>301.16899999999987</v>
      </c>
      <c r="K39" s="8">
        <f>L39/J39</f>
        <v>94.522817712</v>
      </c>
      <c r="L39" s="13">
        <f>D39-H39</f>
        <v>28467.342487505317</v>
      </c>
      <c r="M39" s="13"/>
      <c r="N39" s="13">
        <v>0</v>
      </c>
      <c r="O39" s="8">
        <v>0</v>
      </c>
      <c r="P39" s="13">
        <f>S39+V39+Y39</f>
        <v>0</v>
      </c>
      <c r="Q39">
        <f>0.34*N39*0.5</f>
        <v>0</v>
      </c>
      <c r="R39" s="8">
        <f>0.527*'(2) Free LF earnings 1800'!X39</f>
        <v>0</v>
      </c>
      <c r="S39" s="13">
        <f>Q39*R39</f>
        <v>0</v>
      </c>
      <c r="T39">
        <f>0.34*N39*0.5</f>
        <v>0</v>
      </c>
      <c r="U39" s="8">
        <f>0.527*'(2) Free LF earnings 1800'!AA39</f>
        <v>0</v>
      </c>
      <c r="V39" s="13">
        <f>T39*U39</f>
        <v>0</v>
      </c>
      <c r="W39" s="13">
        <f>N39-Q39-T39</f>
        <v>0</v>
      </c>
      <c r="X39" s="8">
        <f>0.527*'(2) Free LF earnings 1800'!AG39</f>
        <v>0</v>
      </c>
      <c r="Y39" s="13">
        <f>W39*X39</f>
        <v>0</v>
      </c>
      <c r="Z39" s="13">
        <f>J39-AL39-N39</f>
        <v>172.09657142857137</v>
      </c>
      <c r="AA39" s="27">
        <f>AB39/Z39</f>
        <v>100.38653039999998</v>
      </c>
      <c r="AB39" s="13">
        <f>AE39+AH39+AK39</f>
        <v>17276.177699450047</v>
      </c>
      <c r="AC39" s="13">
        <f>0.16*0.5*Z39</f>
        <v>13.76772571428571</v>
      </c>
      <c r="AD39" s="8">
        <f>0.475*'(2) Free LF earnings 1800'!AP39</f>
        <v>183.1695</v>
      </c>
      <c r="AE39" s="13">
        <f>AC39*AD39</f>
        <v>2521.8274352228564</v>
      </c>
      <c r="AF39" s="13">
        <f>0.16*0.5*Z39</f>
        <v>13.76772571428571</v>
      </c>
      <c r="AG39" s="8">
        <f>0.475*'(2) Free LF earnings 1800'!AS39</f>
        <v>131.4705</v>
      </c>
      <c r="AH39" s="13">
        <f>AF39*AG39</f>
        <v>1810.0497835199992</v>
      </c>
      <c r="AI39" s="13">
        <f>Z39-AC39-AF39</f>
        <v>144.56111999999993</v>
      </c>
      <c r="AJ39" s="8">
        <f>0.475*'(2) Free LF earnings 1800'!AY39</f>
        <v>89.54205999999999</v>
      </c>
      <c r="AK39" s="13">
        <f>AI39*AJ39</f>
        <v>12944.300480707192</v>
      </c>
      <c r="AL39" s="13">
        <v>129.0724285714285</v>
      </c>
      <c r="AM39" s="8">
        <f>AN39/AL39</f>
        <v>86.704534128</v>
      </c>
      <c r="AN39" s="13">
        <f>AT39+AW39+AQ39</f>
        <v>11191.164788055266</v>
      </c>
      <c r="AO39" s="13">
        <f>AL39*0.16*0.5</f>
        <v>10.32579428571428</v>
      </c>
      <c r="AP39" s="8">
        <f>0.443*'(2) Free LF earnings 1800'!BH39</f>
        <v>133.11264</v>
      </c>
      <c r="AQ39" s="13">
        <f>AO39*AP39</f>
        <v>1374.4937374683423</v>
      </c>
      <c r="AR39" s="13">
        <f>AL39*0.16*0.5</f>
        <v>10.32579428571428</v>
      </c>
      <c r="AS39" s="8">
        <f>0.443*'(2) Free LF earnings 1800'!BK39</f>
        <v>95.54181</v>
      </c>
      <c r="AT39" s="13">
        <f>AR39*AS39</f>
        <v>986.5450757447995</v>
      </c>
      <c r="AU39" s="13">
        <f>AL39-AO39-AR39</f>
        <v>108.42083999999994</v>
      </c>
      <c r="AV39" s="8">
        <f>0.443*'(2) Free LF earnings 1800'!BN39</f>
        <v>81.44306920000001</v>
      </c>
      <c r="AW39" s="13">
        <f>AU39*AV39</f>
        <v>8830.125974842125</v>
      </c>
    </row>
    <row r="40" spans="1:49" ht="13.5">
      <c r="A40" t="s">
        <v>75</v>
      </c>
      <c r="B40" s="13">
        <v>7550.1</v>
      </c>
      <c r="C40" s="30">
        <f>D40/B40</f>
        <v>79.945744328059</v>
      </c>
      <c r="D40" s="13">
        <f>H40+P40+AB40+AN40</f>
        <v>603598.3642512783</v>
      </c>
      <c r="E40" s="13"/>
      <c r="F40" s="13">
        <v>6451.1410000000005</v>
      </c>
      <c r="G40" s="8">
        <f>0.414*'(2) Free LF earnings 1800'!G40</f>
        <v>77.55462</v>
      </c>
      <c r="H40" s="13">
        <f>F40*G40</f>
        <v>500315.78882142005</v>
      </c>
      <c r="J40" s="13">
        <v>1098.9589999999998</v>
      </c>
      <c r="K40" s="8">
        <f>L40/J40</f>
        <v>93.98219171948936</v>
      </c>
      <c r="L40" s="13">
        <f>D40-H40</f>
        <v>103282.57542985829</v>
      </c>
      <c r="M40" s="13"/>
      <c r="N40" s="13">
        <v>0</v>
      </c>
      <c r="O40" s="8">
        <v>0</v>
      </c>
      <c r="P40" s="13">
        <f>S40+V40+Y40</f>
        <v>0</v>
      </c>
      <c r="Q40">
        <v>0</v>
      </c>
      <c r="R40" s="8">
        <v>0</v>
      </c>
      <c r="S40" s="13">
        <f>Q40*R40</f>
        <v>0</v>
      </c>
      <c r="T40">
        <f>0.34*N40*0.5</f>
        <v>0</v>
      </c>
      <c r="U40" s="8">
        <f>0.527*'(2) Free LF earnings 1800'!AA40</f>
        <v>0</v>
      </c>
      <c r="V40" s="13">
        <v>0</v>
      </c>
      <c r="W40" s="13">
        <v>0</v>
      </c>
      <c r="X40" s="8">
        <f>0.527*'(2) Free LF earnings 1800'!AG40</f>
        <v>0</v>
      </c>
      <c r="Y40" s="13">
        <f>W40*X40</f>
        <v>0</v>
      </c>
      <c r="Z40" s="13">
        <f>J40-AL40-N40</f>
        <v>584.552659574468</v>
      </c>
      <c r="AA40" s="27">
        <f>AB40/Z40</f>
        <v>100.38653040000001</v>
      </c>
      <c r="AB40" s="13">
        <f>AE40+AH40+AK40</f>
        <v>58681.213330773186</v>
      </c>
      <c r="AC40" s="13">
        <f>0.16*0.5*Z40</f>
        <v>46.76421276595744</v>
      </c>
      <c r="AD40" s="8">
        <f>0.475*'(2) Free LF earnings 1800'!AP40</f>
        <v>183.1695</v>
      </c>
      <c r="AE40" s="13">
        <f>AC40*AD40</f>
        <v>8565.777470234041</v>
      </c>
      <c r="AF40" s="13">
        <f>0.16*0.5*Z40</f>
        <v>46.76421276595744</v>
      </c>
      <c r="AG40" s="8">
        <f>0.475*'(2) Free LF earnings 1800'!AS40</f>
        <v>131.4705</v>
      </c>
      <c r="AH40" s="13">
        <f>AF40*AG40</f>
        <v>6148.114434446807</v>
      </c>
      <c r="AI40" s="13">
        <f>Z40-AC40-AF40</f>
        <v>491.02423404255313</v>
      </c>
      <c r="AJ40" s="8">
        <f>0.475*'(2) Free LF earnings 1800'!AY40</f>
        <v>89.54205999999999</v>
      </c>
      <c r="AK40" s="13">
        <f>AI40*AJ40</f>
        <v>43967.321426092334</v>
      </c>
      <c r="AL40" s="13">
        <v>514.4063404255319</v>
      </c>
      <c r="AM40" s="8">
        <f>AN40/AL40</f>
        <v>86.704534128</v>
      </c>
      <c r="AN40" s="13">
        <f>AT40+AW40+AQ40</f>
        <v>44601.36209908512</v>
      </c>
      <c r="AO40" s="13">
        <f>AL40*0.16*0.5</f>
        <v>41.15250723404255</v>
      </c>
      <c r="AP40" s="8">
        <f>0.443*'(2) Free LF earnings 1800'!BH40</f>
        <v>133.11264</v>
      </c>
      <c r="AQ40" s="13">
        <f>AO40*AP40</f>
        <v>5477.918880542502</v>
      </c>
      <c r="AR40" s="13">
        <f>AL40*0.16*0.5</f>
        <v>41.15250723404255</v>
      </c>
      <c r="AS40" s="8">
        <f>0.443*'(2) Free LF earnings 1800'!BK40</f>
        <v>95.54181</v>
      </c>
      <c r="AT40" s="13">
        <f>AR40*AS40</f>
        <v>3931.785027178519</v>
      </c>
      <c r="AU40" s="13">
        <f>AL40-AO40-AR40</f>
        <v>432.10132595744676</v>
      </c>
      <c r="AV40" s="8">
        <f>0.443*'(2) Free LF earnings 1800'!BN40</f>
        <v>81.44306920000001</v>
      </c>
      <c r="AW40" s="13">
        <f>AU40*AV40</f>
        <v>35191.6581913641</v>
      </c>
    </row>
    <row r="41" spans="1:94" ht="18">
      <c r="A41" s="9" t="s">
        <v>37</v>
      </c>
      <c r="B41" s="13">
        <f>B38+B39+B40</f>
        <v>31258.799999999996</v>
      </c>
      <c r="C41" s="31">
        <f t="shared" si="28"/>
        <v>79.95739205822018</v>
      </c>
      <c r="D41" s="13">
        <f>D38+D39+D40</f>
        <v>2499372.1268694927</v>
      </c>
      <c r="E41" s="13"/>
      <c r="F41" s="13">
        <f>F38+F39+F40</f>
        <v>26708.908</v>
      </c>
      <c r="G41" s="17">
        <f>H41/F41</f>
        <v>77.55462000000001</v>
      </c>
      <c r="H41" s="13">
        <f>H38+H39+H40</f>
        <v>2071399.2105549602</v>
      </c>
      <c r="I41" s="13"/>
      <c r="J41" s="13">
        <f>J38+J39+J40</f>
        <v>4549.891999999999</v>
      </c>
      <c r="K41" s="10">
        <f t="shared" si="25"/>
        <v>94.06221429311572</v>
      </c>
      <c r="L41" s="13">
        <f>L38+L39+L40</f>
        <v>427972.91631453275</v>
      </c>
      <c r="M41" s="13"/>
      <c r="N41" s="13">
        <f>N38+N39+N40</f>
        <v>0</v>
      </c>
      <c r="O41" s="47" t="s">
        <v>40</v>
      </c>
      <c r="P41" s="13">
        <f>P38+P39+P40</f>
        <v>0</v>
      </c>
      <c r="Q41" s="13">
        <f>Q38+Q39+Q40</f>
        <v>0</v>
      </c>
      <c r="R41" s="47" t="s">
        <v>40</v>
      </c>
      <c r="S41" s="13">
        <f>S38+S39+S40</f>
        <v>0</v>
      </c>
      <c r="T41" s="13">
        <f>T38+T39+T40</f>
        <v>0</v>
      </c>
      <c r="U41" s="47">
        <v>0</v>
      </c>
      <c r="V41" s="13">
        <f>V38+V39+V40</f>
        <v>0</v>
      </c>
      <c r="W41" s="13">
        <f>W38+W39+W40</f>
        <v>0</v>
      </c>
      <c r="X41" s="47">
        <v>0</v>
      </c>
      <c r="Y41" s="13">
        <f>Y38+Y39+Y40</f>
        <v>0</v>
      </c>
      <c r="Z41" s="13">
        <f>Z38+Z39+Z40</f>
        <v>2446.7664992957216</v>
      </c>
      <c r="AA41" s="22">
        <f t="shared" si="26"/>
        <v>100.38653040000003</v>
      </c>
      <c r="AB41" s="13">
        <f>AB38+AB39+AB40</f>
        <v>245622.3995632516</v>
      </c>
      <c r="AC41" s="13">
        <f>AC38+AC39+AC40</f>
        <v>195.74131994365774</v>
      </c>
      <c r="AD41" s="10">
        <f>AE41/AC41</f>
        <v>183.16949999999997</v>
      </c>
      <c r="AE41" s="13">
        <f>AE38+AE39+AE40</f>
        <v>35853.83970341981</v>
      </c>
      <c r="AF41" s="13">
        <f>AF38+AF39+AF40</f>
        <v>195.74131994365774</v>
      </c>
      <c r="AG41" s="10">
        <f>AH41/AF41</f>
        <v>131.4705</v>
      </c>
      <c r="AH41" s="13">
        <f>AH38+AH39+AH40</f>
        <v>25734.209203652652</v>
      </c>
      <c r="AI41" s="13">
        <f>AI38+AI39+AI40</f>
        <v>2055.2838594084064</v>
      </c>
      <c r="AJ41" s="10">
        <f>AK41/AI41</f>
        <v>89.54205999999999</v>
      </c>
      <c r="AK41" s="13">
        <f>AK38+AK39+AK40</f>
        <v>184034.35065617907</v>
      </c>
      <c r="AL41" s="13">
        <f>AL38+AL39+AL40</f>
        <v>2103.1255007042773</v>
      </c>
      <c r="AM41" s="10">
        <f t="shared" si="27"/>
        <v>86.704534128</v>
      </c>
      <c r="AN41" s="13">
        <f>AN38+AN39+AN40</f>
        <v>182350.5167512811</v>
      </c>
      <c r="AO41" s="13">
        <f>AO38+AO39+AO40</f>
        <v>168.2500400563422</v>
      </c>
      <c r="AP41" s="34">
        <f>AQ41/AO41</f>
        <v>133.11264</v>
      </c>
      <c r="AQ41" s="13">
        <f>AQ38+AQ39+AQ40</f>
        <v>22396.207012005456</v>
      </c>
      <c r="AR41" s="13">
        <f>AR38+AR39+AR40</f>
        <v>168.2500400563422</v>
      </c>
      <c r="AS41" s="34">
        <f>AT41/AR41</f>
        <v>95.54181</v>
      </c>
      <c r="AT41" s="13">
        <f>AT38+AT39+AT40</f>
        <v>16074.913359555434</v>
      </c>
      <c r="AU41" s="13">
        <f>AU38+AU39+AU40</f>
        <v>1766.6254205915927</v>
      </c>
      <c r="AV41" s="34">
        <f>AW41/AU41</f>
        <v>81.44306920000001</v>
      </c>
      <c r="AW41" s="13">
        <f>AW38+AW39+AW40</f>
        <v>143879.39637972022</v>
      </c>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3" ht="12">
      <c r="A43" s="6" t="s">
        <v>92</v>
      </c>
    </row>
    <row r="44" ht="12">
      <c r="A44" s="6"/>
    </row>
    <row r="45" ht="12">
      <c r="A45" s="36" t="s">
        <v>44</v>
      </c>
    </row>
    <row r="46" ht="12">
      <c r="A46" s="36" t="s">
        <v>97</v>
      </c>
    </row>
    <row r="47" ht="12">
      <c r="A47" s="37" t="s">
        <v>98</v>
      </c>
    </row>
    <row r="48" spans="2:3" ht="12">
      <c r="B48" s="39" t="s">
        <v>28</v>
      </c>
      <c r="C48" s="39" t="s">
        <v>16</v>
      </c>
    </row>
    <row r="49" spans="1:5" ht="12">
      <c r="A49" s="38" t="s">
        <v>20</v>
      </c>
      <c r="B49" s="38">
        <v>41.4</v>
      </c>
      <c r="C49" s="38">
        <v>40.1</v>
      </c>
      <c r="D49" s="36"/>
      <c r="E49" s="36"/>
    </row>
    <row r="50" spans="1:4" ht="12">
      <c r="A50" s="38" t="s">
        <v>17</v>
      </c>
      <c r="B50" s="38">
        <v>44.3</v>
      </c>
      <c r="C50" s="38">
        <v>43.9</v>
      </c>
      <c r="D50" s="36"/>
    </row>
    <row r="51" spans="1:5" ht="12">
      <c r="A51" s="38" t="s">
        <v>18</v>
      </c>
      <c r="B51" s="38">
        <v>47.5</v>
      </c>
      <c r="C51" s="38">
        <v>47.1</v>
      </c>
      <c r="D51" s="36"/>
      <c r="E51" s="36"/>
    </row>
    <row r="52" spans="1:5" ht="12">
      <c r="A52" s="38" t="s">
        <v>19</v>
      </c>
      <c r="B52" s="38">
        <v>52.7</v>
      </c>
      <c r="C52" s="38">
        <v>52.3</v>
      </c>
      <c r="D52" s="36"/>
      <c r="E52" s="36"/>
    </row>
    <row r="53" spans="1:9" ht="12">
      <c r="A53" s="79"/>
      <c r="B53" s="79"/>
      <c r="C53" s="79"/>
      <c r="D53" s="79"/>
      <c r="E53" s="79"/>
      <c r="F53" s="79"/>
      <c r="G53" s="66"/>
      <c r="H53" s="66"/>
      <c r="I53" s="66"/>
    </row>
    <row r="54" spans="1:9" ht="13.5">
      <c r="A54" s="76"/>
      <c r="B54" s="80"/>
      <c r="C54" s="80"/>
      <c r="D54" s="80"/>
      <c r="E54" s="80"/>
      <c r="F54" s="80"/>
      <c r="G54" s="80"/>
      <c r="H54" s="80"/>
      <c r="I54" s="80"/>
    </row>
    <row r="55" spans="1:13" ht="13.5">
      <c r="A55" s="76"/>
      <c r="B55" s="80"/>
      <c r="C55" s="80"/>
      <c r="D55" s="80"/>
      <c r="E55" s="80"/>
      <c r="F55" s="80"/>
      <c r="G55" s="80"/>
      <c r="H55" s="80"/>
      <c r="I55" s="80"/>
      <c r="J55" s="80"/>
      <c r="K55" s="7"/>
      <c r="L55" s="7"/>
      <c r="M55" s="7"/>
    </row>
    <row r="56" spans="1:13" ht="13.5">
      <c r="A56" s="76"/>
      <c r="B56" s="66"/>
      <c r="C56" s="66"/>
      <c r="D56" s="66"/>
      <c r="E56" s="66"/>
      <c r="F56" s="66"/>
      <c r="G56" s="66"/>
      <c r="H56" s="66"/>
      <c r="I56" s="66"/>
      <c r="J56" s="66"/>
      <c r="K56" s="24"/>
      <c r="L56" s="24"/>
      <c r="M56" s="24"/>
    </row>
    <row r="57" spans="1:13" ht="13.5">
      <c r="A57" s="76"/>
      <c r="B57" s="66"/>
      <c r="C57" s="66"/>
      <c r="D57" s="66"/>
      <c r="E57" s="66"/>
      <c r="F57" s="66"/>
      <c r="G57" s="66"/>
      <c r="H57" s="66"/>
      <c r="I57" s="66"/>
      <c r="J57" s="7"/>
      <c r="K57" s="7"/>
      <c r="L57" s="7"/>
      <c r="M57" s="7"/>
    </row>
    <row r="58" spans="1:13" ht="13.5">
      <c r="A58" s="76"/>
      <c r="B58" s="66"/>
      <c r="C58" s="66"/>
      <c r="D58" s="66"/>
      <c r="E58" s="66"/>
      <c r="F58" s="66"/>
      <c r="G58" s="66"/>
      <c r="H58" s="66"/>
      <c r="I58" s="66"/>
      <c r="J58" s="7"/>
      <c r="K58" s="7"/>
      <c r="L58" s="7"/>
      <c r="M58" s="7"/>
    </row>
    <row r="59" spans="1:13" ht="13.5">
      <c r="A59" s="76"/>
      <c r="B59" s="66"/>
      <c r="C59" s="66"/>
      <c r="D59" s="66"/>
      <c r="E59" s="66"/>
      <c r="F59" s="66"/>
      <c r="G59" s="66"/>
      <c r="H59" s="66"/>
      <c r="I59" s="66"/>
      <c r="J59" s="7"/>
      <c r="K59" s="7"/>
      <c r="L59" s="7"/>
      <c r="M59" s="7"/>
    </row>
    <row r="60" spans="1:13" ht="13.5">
      <c r="A60" s="76"/>
      <c r="B60" s="66"/>
      <c r="C60" s="66"/>
      <c r="D60" s="66"/>
      <c r="E60" s="66"/>
      <c r="F60" s="66"/>
      <c r="G60" s="66"/>
      <c r="H60" s="66"/>
      <c r="I60" s="66"/>
      <c r="J60" s="7"/>
      <c r="K60" s="7"/>
      <c r="L60" s="7"/>
      <c r="M60" s="7"/>
    </row>
    <row r="61" spans="1:13" ht="13.5">
      <c r="A61" s="21"/>
      <c r="B61" s="7"/>
      <c r="C61" s="15"/>
      <c r="D61" s="7"/>
      <c r="E61" s="7"/>
      <c r="F61" s="7"/>
      <c r="G61" s="7"/>
      <c r="H61" s="7"/>
      <c r="I61" s="7"/>
      <c r="J61" s="7"/>
      <c r="K61" s="7"/>
      <c r="L61" s="7"/>
      <c r="M61" s="7"/>
    </row>
    <row r="62" spans="1:13" ht="13.5">
      <c r="A62" s="75"/>
      <c r="B62" s="78"/>
      <c r="C62" s="78"/>
      <c r="D62" s="78"/>
      <c r="E62" s="78"/>
      <c r="F62" s="78"/>
      <c r="G62" s="66"/>
      <c r="H62" s="66"/>
      <c r="I62" s="66"/>
      <c r="J62" s="66"/>
      <c r="K62" s="24"/>
      <c r="L62" s="24"/>
      <c r="M62" s="24"/>
    </row>
    <row r="63" spans="1:13" ht="13.5">
      <c r="A63" s="75"/>
      <c r="B63" s="78"/>
      <c r="C63" s="78"/>
      <c r="D63" s="78"/>
      <c r="E63" s="78"/>
      <c r="F63" s="78"/>
      <c r="G63" s="78"/>
      <c r="H63" s="78"/>
      <c r="I63" s="78"/>
      <c r="J63" s="7"/>
      <c r="K63" s="7"/>
      <c r="L63" s="7"/>
      <c r="M63" s="7"/>
    </row>
    <row r="64" spans="1:13" ht="13.5">
      <c r="A64" s="75"/>
      <c r="B64" s="66"/>
      <c r="C64" s="66"/>
      <c r="D64" s="66"/>
      <c r="E64" s="66"/>
      <c r="F64" s="66"/>
      <c r="G64" s="66"/>
      <c r="H64" s="66"/>
      <c r="I64" s="66"/>
      <c r="J64" s="7"/>
      <c r="K64" s="7"/>
      <c r="L64" s="7"/>
      <c r="M64" s="7"/>
    </row>
    <row r="65" spans="1:13" ht="13.5">
      <c r="A65" s="75"/>
      <c r="B65" s="66"/>
      <c r="C65" s="66"/>
      <c r="D65" s="66"/>
      <c r="E65" s="66"/>
      <c r="F65" s="66"/>
      <c r="G65" s="66"/>
      <c r="H65" s="66"/>
      <c r="I65" s="66"/>
      <c r="J65" s="7"/>
      <c r="K65" s="7"/>
      <c r="L65" s="7"/>
      <c r="M65" s="7"/>
    </row>
    <row r="66" spans="1:13" ht="13.5">
      <c r="A66" s="92"/>
      <c r="B66" s="66"/>
      <c r="C66" s="66"/>
      <c r="D66" s="66"/>
      <c r="E66" s="66"/>
      <c r="F66" s="66"/>
      <c r="G66" s="66"/>
      <c r="H66" s="66"/>
      <c r="I66" s="66"/>
      <c r="J66" s="7"/>
      <c r="K66" s="7"/>
      <c r="L66" s="7"/>
      <c r="M66" s="7"/>
    </row>
    <row r="67" spans="1:13" ht="13.5">
      <c r="A67" s="21"/>
      <c r="B67" s="26"/>
      <c r="C67" s="26"/>
      <c r="D67" s="26"/>
      <c r="E67" s="26"/>
      <c r="F67" s="26"/>
      <c r="G67" s="26"/>
      <c r="H67" s="26"/>
      <c r="I67" s="26"/>
      <c r="J67" s="7"/>
      <c r="K67" s="7"/>
      <c r="L67" s="7"/>
      <c r="M67" s="7"/>
    </row>
    <row r="68" spans="1:13" ht="13.5">
      <c r="A68" s="75"/>
      <c r="B68" s="66"/>
      <c r="C68" s="66"/>
      <c r="D68" s="66"/>
      <c r="E68" s="66"/>
      <c r="F68" s="66"/>
      <c r="G68" s="66"/>
      <c r="H68" s="66"/>
      <c r="I68" s="66"/>
      <c r="J68" s="7"/>
      <c r="K68" s="7"/>
      <c r="L68" s="7"/>
      <c r="M68" s="7"/>
    </row>
    <row r="69" spans="1:13" ht="13.5">
      <c r="A69" s="75"/>
      <c r="B69" s="66"/>
      <c r="C69" s="66"/>
      <c r="D69" s="66"/>
      <c r="E69" s="66"/>
      <c r="F69" s="66"/>
      <c r="G69" s="66"/>
      <c r="H69" s="66"/>
      <c r="I69" s="66"/>
      <c r="J69" s="7"/>
      <c r="K69" s="7"/>
      <c r="L69" s="7"/>
      <c r="M69" s="7"/>
    </row>
    <row r="70" spans="1:13" ht="13.5">
      <c r="A70" s="75"/>
      <c r="B70" s="66"/>
      <c r="C70" s="66"/>
      <c r="D70" s="66"/>
      <c r="E70" s="66"/>
      <c r="F70" s="66"/>
      <c r="G70" s="66"/>
      <c r="H70" s="66"/>
      <c r="I70" s="66"/>
      <c r="J70" s="7"/>
      <c r="K70" s="7"/>
      <c r="L70" s="7"/>
      <c r="M70" s="7"/>
    </row>
    <row r="71" spans="1:13" ht="13.5">
      <c r="A71" s="75"/>
      <c r="B71" s="66"/>
      <c r="C71" s="66"/>
      <c r="D71" s="66"/>
      <c r="E71" s="66"/>
      <c r="F71" s="66"/>
      <c r="G71" s="66"/>
      <c r="H71" s="66"/>
      <c r="I71" s="66"/>
      <c r="J71" s="7"/>
      <c r="K71" s="7"/>
      <c r="L71" s="7"/>
      <c r="M71" s="7"/>
    </row>
    <row r="72" spans="1:13" ht="13.5">
      <c r="A72" s="75"/>
      <c r="B72" s="66"/>
      <c r="C72" s="66"/>
      <c r="D72" s="66"/>
      <c r="E72" s="66"/>
      <c r="F72" s="66"/>
      <c r="G72" s="66"/>
      <c r="H72" s="66"/>
      <c r="I72" s="66"/>
      <c r="J72" s="7"/>
      <c r="K72" s="7"/>
      <c r="L72" s="7"/>
      <c r="M72" s="7"/>
    </row>
    <row r="73" spans="1:13" ht="13.5">
      <c r="A73" s="75"/>
      <c r="B73" s="66"/>
      <c r="C73" s="66"/>
      <c r="D73" s="66"/>
      <c r="E73" s="66"/>
      <c r="F73" s="66"/>
      <c r="G73" s="66"/>
      <c r="H73" s="66"/>
      <c r="I73" s="66"/>
      <c r="J73" s="7"/>
      <c r="K73" s="7"/>
      <c r="L73" s="7"/>
      <c r="M73" s="7"/>
    </row>
    <row r="74" spans="1:13" ht="13.5">
      <c r="A74" s="25"/>
      <c r="B74" s="24"/>
      <c r="C74" s="24"/>
      <c r="D74" s="24"/>
      <c r="E74" s="24"/>
      <c r="F74" s="24"/>
      <c r="G74" s="24"/>
      <c r="H74" s="24"/>
      <c r="I74" s="24"/>
      <c r="J74" s="7"/>
      <c r="K74" s="7"/>
      <c r="L74" s="7"/>
      <c r="M74" s="7"/>
    </row>
    <row r="75" ht="12">
      <c r="A75" s="6"/>
    </row>
    <row r="82" spans="1:8" ht="18">
      <c r="A82" s="3"/>
      <c r="B82" s="3"/>
      <c r="C82" s="3"/>
      <c r="D82" s="3"/>
      <c r="E82" s="3"/>
      <c r="F82" s="3"/>
      <c r="G82" s="3"/>
      <c r="H82" s="3"/>
    </row>
    <row r="88" spans="1:8" ht="18">
      <c r="A88" s="3"/>
      <c r="B88" s="3"/>
      <c r="C88" s="3"/>
      <c r="D88" s="3"/>
      <c r="E88" s="3"/>
      <c r="F88" s="3"/>
      <c r="G88" s="3"/>
      <c r="H88" s="3"/>
    </row>
    <row r="89" spans="1:8" ht="18">
      <c r="A89" s="3"/>
      <c r="B89" s="3"/>
      <c r="C89" s="3"/>
      <c r="D89" s="3"/>
      <c r="E89" s="3"/>
      <c r="F89" s="3"/>
      <c r="G89" s="3"/>
      <c r="H89" s="3"/>
    </row>
    <row r="90" spans="1:8" ht="18">
      <c r="A90" s="3"/>
      <c r="B90" s="3"/>
      <c r="C90" s="3"/>
      <c r="D90" s="3"/>
      <c r="E90" s="3"/>
      <c r="F90" s="3"/>
      <c r="G90" s="3"/>
      <c r="H90" s="3"/>
    </row>
    <row r="91" spans="1:8" ht="18">
      <c r="A91" s="3"/>
      <c r="B91" s="3"/>
      <c r="C91" s="3"/>
      <c r="D91" s="3"/>
      <c r="E91" s="3"/>
      <c r="F91" s="3"/>
      <c r="G91" s="3"/>
      <c r="H91" s="3"/>
    </row>
    <row r="100" spans="1:8" ht="18">
      <c r="A100" s="3"/>
      <c r="B100" s="3"/>
      <c r="C100" s="3"/>
      <c r="D100" s="3"/>
      <c r="E100" s="3"/>
      <c r="F100" s="3"/>
      <c r="G100" s="3"/>
      <c r="H100" s="3"/>
    </row>
    <row r="101" spans="1:8" ht="18">
      <c r="A101" s="3"/>
      <c r="B101" s="3"/>
      <c r="C101" s="3"/>
      <c r="D101" s="3"/>
      <c r="E101" s="3"/>
      <c r="F101" s="3"/>
      <c r="G101" s="3"/>
      <c r="H101" s="3"/>
    </row>
    <row r="104" spans="1:8" ht="18">
      <c r="A104" s="3"/>
      <c r="B104" s="3"/>
      <c r="C104" s="3"/>
      <c r="D104" s="3"/>
      <c r="E104" s="3"/>
      <c r="F104" s="3"/>
      <c r="G104" s="3"/>
      <c r="H104" s="3"/>
    </row>
    <row r="106" spans="1:8" ht="18">
      <c r="A106" s="4"/>
      <c r="B106" s="4"/>
      <c r="C106" s="4"/>
      <c r="D106" s="4"/>
      <c r="E106" s="4"/>
      <c r="F106" s="4"/>
      <c r="G106" s="4"/>
      <c r="H106" s="4"/>
    </row>
  </sheetData>
  <sheetProtection/>
  <mergeCells count="67">
    <mergeCell ref="I3:AN3"/>
    <mergeCell ref="N4:Y4"/>
    <mergeCell ref="Z4:AK4"/>
    <mergeCell ref="N5:P5"/>
    <mergeCell ref="W5:Y5"/>
    <mergeCell ref="AL5:AN5"/>
    <mergeCell ref="J4:L4"/>
    <mergeCell ref="AO5:AQ5"/>
    <mergeCell ref="AR5:AT5"/>
    <mergeCell ref="B4:D4"/>
    <mergeCell ref="F4:H4"/>
    <mergeCell ref="AL4:AW4"/>
    <mergeCell ref="C6:D6"/>
    <mergeCell ref="F6:F7"/>
    <mergeCell ref="G6:H6"/>
    <mergeCell ref="N6:N7"/>
    <mergeCell ref="Z5:AB5"/>
    <mergeCell ref="W6:W7"/>
    <mergeCell ref="X6:Y6"/>
    <mergeCell ref="Z6:Z7"/>
    <mergeCell ref="Q5:S5"/>
    <mergeCell ref="T5:V5"/>
    <mergeCell ref="AU6:AU7"/>
    <mergeCell ref="AI6:AI7"/>
    <mergeCell ref="AJ6:AK6"/>
    <mergeCell ref="AL6:AL7"/>
    <mergeCell ref="AA6:AB6"/>
    <mergeCell ref="T6:T7"/>
    <mergeCell ref="K6:L6"/>
    <mergeCell ref="AU5:AW5"/>
    <mergeCell ref="AC5:AE5"/>
    <mergeCell ref="AF5:AH5"/>
    <mergeCell ref="AI5:AK5"/>
    <mergeCell ref="AF6:AF7"/>
    <mergeCell ref="AG6:AH6"/>
    <mergeCell ref="AC6:AC7"/>
    <mergeCell ref="AD6:AE6"/>
    <mergeCell ref="AV6:AW6"/>
    <mergeCell ref="A53:I53"/>
    <mergeCell ref="A54:I54"/>
    <mergeCell ref="AM6:AN6"/>
    <mergeCell ref="AO6:AO7"/>
    <mergeCell ref="AP6:AQ6"/>
    <mergeCell ref="AR6:AR7"/>
    <mergeCell ref="AS6:AT6"/>
    <mergeCell ref="O6:P6"/>
    <mergeCell ref="Q6:Q7"/>
    <mergeCell ref="A66:I66"/>
    <mergeCell ref="A68:I68"/>
    <mergeCell ref="A69:I69"/>
    <mergeCell ref="A70:I70"/>
    <mergeCell ref="A71:I71"/>
    <mergeCell ref="U6:V6"/>
    <mergeCell ref="B6:B7"/>
    <mergeCell ref="A59:I59"/>
    <mergeCell ref="A60:I60"/>
    <mergeCell ref="R6:S6"/>
    <mergeCell ref="A72:I72"/>
    <mergeCell ref="A55:J55"/>
    <mergeCell ref="A56:J56"/>
    <mergeCell ref="A57:I57"/>
    <mergeCell ref="A58:I58"/>
    <mergeCell ref="A73:I73"/>
    <mergeCell ref="A62:J62"/>
    <mergeCell ref="A63:I63"/>
    <mergeCell ref="A64:I64"/>
    <mergeCell ref="A65:I6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Williamson</dc:creator>
  <cp:keywords/>
  <dc:description/>
  <cp:lastModifiedBy>Peter Lindert</cp:lastModifiedBy>
  <cp:lastPrinted>2010-08-11T11:52:29Z</cp:lastPrinted>
  <dcterms:created xsi:type="dcterms:W3CDTF">2010-07-19T11:17:19Z</dcterms:created>
  <dcterms:modified xsi:type="dcterms:W3CDTF">2011-07-19T22:00:32Z</dcterms:modified>
  <cp:category/>
  <cp:version/>
  <cp:contentType/>
  <cp:contentStatus/>
</cp:coreProperties>
</file>